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e-Projection\2. Non-Projects\Website\2021UPDATE\"/>
    </mc:Choice>
  </mc:AlternateContent>
  <xr:revisionPtr revIDLastSave="0" documentId="8_{A1383CCD-4349-4DB9-9255-9AB7B7CC6B62}" xr6:coauthVersionLast="47" xr6:coauthVersionMax="47" xr10:uidLastSave="{00000000-0000-0000-0000-000000000000}"/>
  <workbookProtection workbookAlgorithmName="SHA-512" workbookHashValue="andhrt5gc+e94sxoTTOfN+DkfN+hUlz5IX0zAQbJI0pxEHV1H7dOeJVjuN0tz8djWoqf6pljaZOiC8Z6yEvYKQ==" workbookSaltValue="W0JmL/JU2ax951/YWgwZVw==" workbookSpinCount="100000" lockStructure="1"/>
  <bookViews>
    <workbookView xWindow="-110" yWindow="-110" windowWidth="19420" windowHeight="10420" xr2:uid="{00000000-000D-0000-FFFF-FFFF00000000}"/>
  </bookViews>
  <sheets>
    <sheet name="Control Panel" sheetId="6" r:id="rId1"/>
    <sheet name="Forecast Table" sheetId="7" r:id="rId2"/>
    <sheet name="Disease forecast" sheetId="5" state="veryHidden" r:id="rId3"/>
    <sheet name="SG&amp;A Assumption table" sheetId="9" state="veryHidden" r:id="rId4"/>
    <sheet name="R&amp;D Assumption table" sheetId="10" state="veryHidden" r:id="rId5"/>
    <sheet name="UN Population" sheetId="2" state="veryHidden" r:id="rId6"/>
    <sheet name="Morizane 2018" sheetId="4" state="veryHidden" r:id="rId7"/>
    <sheet name="Curves" sheetId="8" state="veryHidden" r:id="rId8"/>
  </sheets>
  <externalReferences>
    <externalReference r:id="rId9"/>
    <externalReference r:id="rId10"/>
  </externalReferences>
  <definedNames>
    <definedName name="any_launch_timing">'Control Panel'!$G$14</definedName>
    <definedName name="CT_penetration">'Control Panel'!$F$19</definedName>
    <definedName name="expiration_time">'[1]Control panel'!$I$10</definedName>
    <definedName name="expiration_year">'[1]Control panel'!$F$10</definedName>
    <definedName name="Generic_impact">'[2]United Kingdom'!$C$21</definedName>
    <definedName name="imitation" localSheetId="3">[1]Curves!$B$7</definedName>
    <definedName name="imitation">Curves!$B$7</definedName>
    <definedName name="imitation_generic" localSheetId="3">[1]Curves!$B$16</definedName>
    <definedName name="imitation_generic">Curves!$B$16</definedName>
    <definedName name="initial_price">'[1]Control panel'!$G$20</definedName>
    <definedName name="innovation" localSheetId="3">[1]Curves!$B$6</definedName>
    <definedName name="innovation">Curves!$B$6</definedName>
    <definedName name="innovation_generic" localSheetId="3">[1]Curves!$B$15</definedName>
    <definedName name="innovation_generic">Curves!$B$15</definedName>
    <definedName name="launch_time">'[1]Control panel'!$I$9</definedName>
    <definedName name="launch_year">'[1]Control panel'!$F$9</definedName>
    <definedName name="MLN1202_peak_share">'[2]United Kingdom'!$C$18</definedName>
    <definedName name="PBR_launch_timing">'Control Panel'!$G$15</definedName>
    <definedName name="PBR_launch_year">'Control Panel'!$E$15</definedName>
    <definedName name="PBR_LoE_timing">'Control Panel'!$G$16</definedName>
    <definedName name="PBR_LoE_year">'Control Panel'!$E$16</definedName>
    <definedName name="PBR_peak_share">'Control Panel'!$F$20</definedName>
    <definedName name="price_reduction">'[1]Control panel'!$G$21</definedName>
    <definedName name="solver_adj" localSheetId="6" hidden="1">'Morizane 2018'!$K$7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est" localSheetId="6" hidden="1">1</definedName>
    <definedName name="solver_itr" localSheetId="6" hidden="1">2147483647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0</definedName>
    <definedName name="solver_nwt" localSheetId="6" hidden="1">1</definedName>
    <definedName name="solver_opt" localSheetId="6" hidden="1">'Morizane 2018'!$L$48</definedName>
    <definedName name="solver_pre" localSheetId="6" hidden="1">0.000001</definedName>
    <definedName name="solver_rbv" localSheetId="6" hidden="1">1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3</definedName>
    <definedName name="solver_val" localSheetId="6" hidden="1">28.6</definedName>
    <definedName name="solver_ver" localSheetId="6" hidden="1">3</definedName>
  </definedNames>
  <calcPr calcId="191029" concurrentCalc="0"/>
</workbook>
</file>

<file path=xl/calcChain.xml><?xml version="1.0" encoding="utf-8"?>
<calcChain xmlns="http://schemas.openxmlformats.org/spreadsheetml/2006/main">
  <c r="G15" i="6" l="1"/>
  <c r="O49" i="4"/>
  <c r="O50" i="4"/>
  <c r="O51" i="4"/>
  <c r="O52" i="4"/>
  <c r="O53" i="4"/>
  <c r="O54" i="4"/>
  <c r="O55" i="4"/>
  <c r="O56" i="4"/>
  <c r="O57" i="4"/>
  <c r="O58" i="4"/>
  <c r="O48" i="4"/>
  <c r="B2" i="6"/>
  <c r="F31" i="6"/>
  <c r="T20" i="9"/>
  <c r="T47" i="9"/>
  <c r="T46" i="9"/>
  <c r="U20" i="9"/>
  <c r="V20" i="9"/>
  <c r="V47" i="9"/>
  <c r="V46" i="9"/>
  <c r="W20" i="9"/>
  <c r="W47" i="9"/>
  <c r="W46" i="9"/>
  <c r="X20" i="9"/>
  <c r="X47" i="9"/>
  <c r="X46" i="9"/>
  <c r="T24" i="9"/>
  <c r="U24" i="9"/>
  <c r="U52" i="9"/>
  <c r="U51" i="9"/>
  <c r="V24" i="9"/>
  <c r="V52" i="9"/>
  <c r="V51" i="9"/>
  <c r="W24" i="9"/>
  <c r="X24" i="9"/>
  <c r="T28" i="9"/>
  <c r="U28" i="9"/>
  <c r="U57" i="9"/>
  <c r="U56" i="9"/>
  <c r="V28" i="9"/>
  <c r="W28" i="9"/>
  <c r="X28" i="9"/>
  <c r="X57" i="9"/>
  <c r="X56" i="9"/>
  <c r="T32" i="9"/>
  <c r="U32" i="9"/>
  <c r="U62" i="9"/>
  <c r="U61" i="9"/>
  <c r="V32" i="9"/>
  <c r="V62" i="9"/>
  <c r="V61" i="9"/>
  <c r="W32" i="9"/>
  <c r="W62" i="9"/>
  <c r="W61" i="9"/>
  <c r="X32" i="9"/>
  <c r="X62" i="9"/>
  <c r="X61" i="9"/>
  <c r="T52" i="9"/>
  <c r="T51" i="9"/>
  <c r="W52" i="9"/>
  <c r="W51" i="9"/>
  <c r="X52" i="9"/>
  <c r="X51" i="9"/>
  <c r="T57" i="9"/>
  <c r="T56" i="9"/>
  <c r="V57" i="9"/>
  <c r="V56" i="9"/>
  <c r="W57" i="9"/>
  <c r="W56" i="9"/>
  <c r="T62" i="9"/>
  <c r="T61" i="9"/>
  <c r="F33" i="6"/>
  <c r="F27" i="6"/>
  <c r="F26" i="6"/>
  <c r="F25" i="6"/>
  <c r="F20" i="6"/>
  <c r="F21" i="6"/>
  <c r="F19" i="6"/>
  <c r="U19" i="9"/>
  <c r="U47" i="9"/>
  <c r="U46" i="9"/>
  <c r="U45" i="9"/>
  <c r="T19" i="9"/>
  <c r="W19" i="9"/>
  <c r="X19" i="9"/>
  <c r="V19" i="9"/>
  <c r="T45" i="9"/>
  <c r="V45" i="9"/>
  <c r="X45" i="9"/>
  <c r="W45" i="9"/>
  <c r="F10" i="6"/>
  <c r="F11" i="6"/>
  <c r="G8" i="6"/>
  <c r="F8" i="6"/>
  <c r="T10" i="9"/>
  <c r="X10" i="9"/>
  <c r="V10" i="9"/>
  <c r="U10" i="9"/>
  <c r="W10" i="9"/>
  <c r="F9" i="6"/>
  <c r="C28" i="7"/>
  <c r="E19" i="7"/>
  <c r="F19" i="7"/>
  <c r="AA19" i="7"/>
  <c r="AB19" i="7"/>
  <c r="AC19" i="7"/>
  <c r="D19" i="7"/>
  <c r="E18" i="7"/>
  <c r="F18" i="7"/>
  <c r="G18" i="7"/>
  <c r="H18" i="7"/>
  <c r="D18" i="7"/>
  <c r="T3" i="10"/>
  <c r="Y19" i="7"/>
  <c r="U3" i="10"/>
  <c r="Z19" i="7"/>
  <c r="S3" i="10"/>
  <c r="X19" i="7"/>
  <c r="R3" i="10"/>
  <c r="W19" i="7"/>
  <c r="Q3" i="10"/>
  <c r="V19" i="7"/>
  <c r="P3" i="10"/>
  <c r="U19" i="7"/>
  <c r="O3" i="10"/>
  <c r="T19" i="7"/>
  <c r="N3" i="10"/>
  <c r="S19" i="7"/>
  <c r="M3" i="10"/>
  <c r="R19" i="7"/>
  <c r="L3" i="10"/>
  <c r="Q19" i="7"/>
  <c r="K3" i="10"/>
  <c r="P19" i="7"/>
  <c r="J3" i="10"/>
  <c r="O19" i="7"/>
  <c r="I3" i="10"/>
  <c r="N19" i="7"/>
  <c r="H3" i="10"/>
  <c r="M19" i="7"/>
  <c r="G3" i="10"/>
  <c r="L19" i="7"/>
  <c r="F3" i="10"/>
  <c r="K19" i="7"/>
  <c r="E3" i="10"/>
  <c r="J19" i="7"/>
  <c r="D3" i="10"/>
  <c r="I19" i="7"/>
  <c r="C3" i="10"/>
  <c r="H19" i="7"/>
  <c r="B3" i="10"/>
  <c r="G19" i="7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C39" i="9"/>
  <c r="C38" i="9"/>
  <c r="S32" i="9"/>
  <c r="S62" i="9"/>
  <c r="S61" i="9"/>
  <c r="R32" i="9"/>
  <c r="R62" i="9"/>
  <c r="R61" i="9"/>
  <c r="Q32" i="9"/>
  <c r="Q62" i="9"/>
  <c r="Q61" i="9"/>
  <c r="P32" i="9"/>
  <c r="P62" i="9"/>
  <c r="P61" i="9"/>
  <c r="O32" i="9"/>
  <c r="O62" i="9"/>
  <c r="O61" i="9"/>
  <c r="N32" i="9"/>
  <c r="N62" i="9"/>
  <c r="N61" i="9"/>
  <c r="M32" i="9"/>
  <c r="M62" i="9"/>
  <c r="M61" i="9"/>
  <c r="L32" i="9"/>
  <c r="L62" i="9"/>
  <c r="L61" i="9"/>
  <c r="K32" i="9"/>
  <c r="K62" i="9"/>
  <c r="K61" i="9"/>
  <c r="J32" i="9"/>
  <c r="J62" i="9"/>
  <c r="J61" i="9"/>
  <c r="I32" i="9"/>
  <c r="I62" i="9"/>
  <c r="I61" i="9"/>
  <c r="H32" i="9"/>
  <c r="H62" i="9"/>
  <c r="H61" i="9"/>
  <c r="G32" i="9"/>
  <c r="G62" i="9"/>
  <c r="G61" i="9"/>
  <c r="F32" i="9"/>
  <c r="F62" i="9"/>
  <c r="F61" i="9"/>
  <c r="E32" i="9"/>
  <c r="E62" i="9"/>
  <c r="E61" i="9"/>
  <c r="D32" i="9"/>
  <c r="D62" i="9"/>
  <c r="D61" i="9"/>
  <c r="C32" i="9"/>
  <c r="C62" i="9"/>
  <c r="C61" i="9"/>
  <c r="B32" i="9"/>
  <c r="B62" i="9"/>
  <c r="B61" i="9"/>
  <c r="S28" i="9"/>
  <c r="S57" i="9"/>
  <c r="S56" i="9"/>
  <c r="R28" i="9"/>
  <c r="R57" i="9"/>
  <c r="R56" i="9"/>
  <c r="Q28" i="9"/>
  <c r="Q57" i="9"/>
  <c r="Q56" i="9"/>
  <c r="P28" i="9"/>
  <c r="P57" i="9"/>
  <c r="P56" i="9"/>
  <c r="O28" i="9"/>
  <c r="O57" i="9"/>
  <c r="O56" i="9"/>
  <c r="N28" i="9"/>
  <c r="M28" i="9"/>
  <c r="M57" i="9"/>
  <c r="M56" i="9"/>
  <c r="L28" i="9"/>
  <c r="L57" i="9"/>
  <c r="L56" i="9"/>
  <c r="K28" i="9"/>
  <c r="K57" i="9"/>
  <c r="K56" i="9"/>
  <c r="J28" i="9"/>
  <c r="J57" i="9"/>
  <c r="J56" i="9"/>
  <c r="I28" i="9"/>
  <c r="I57" i="9"/>
  <c r="I56" i="9"/>
  <c r="H28" i="9"/>
  <c r="H57" i="9"/>
  <c r="H56" i="9"/>
  <c r="G28" i="9"/>
  <c r="G57" i="9"/>
  <c r="G56" i="9"/>
  <c r="F28" i="9"/>
  <c r="F57" i="9"/>
  <c r="F56" i="9"/>
  <c r="E28" i="9"/>
  <c r="E57" i="9"/>
  <c r="E56" i="9"/>
  <c r="D28" i="9"/>
  <c r="D57" i="9"/>
  <c r="D56" i="9"/>
  <c r="C28" i="9"/>
  <c r="C57" i="9"/>
  <c r="C56" i="9"/>
  <c r="B28" i="9"/>
  <c r="B57" i="9"/>
  <c r="B56" i="9"/>
  <c r="S24" i="9"/>
  <c r="S52" i="9"/>
  <c r="S51" i="9"/>
  <c r="R24" i="9"/>
  <c r="R52" i="9"/>
  <c r="R51" i="9"/>
  <c r="Q24" i="9"/>
  <c r="Q52" i="9"/>
  <c r="Q51" i="9"/>
  <c r="P24" i="9"/>
  <c r="P52" i="9"/>
  <c r="P51" i="9"/>
  <c r="O24" i="9"/>
  <c r="O52" i="9"/>
  <c r="O51" i="9"/>
  <c r="N24" i="9"/>
  <c r="N52" i="9"/>
  <c r="N51" i="9"/>
  <c r="M24" i="9"/>
  <c r="M52" i="9"/>
  <c r="M51" i="9"/>
  <c r="L24" i="9"/>
  <c r="L52" i="9"/>
  <c r="L51" i="9"/>
  <c r="K24" i="9"/>
  <c r="K52" i="9"/>
  <c r="K51" i="9"/>
  <c r="J24" i="9"/>
  <c r="J52" i="9"/>
  <c r="J51" i="9"/>
  <c r="I24" i="9"/>
  <c r="I52" i="9"/>
  <c r="I51" i="9"/>
  <c r="H24" i="9"/>
  <c r="H52" i="9"/>
  <c r="H51" i="9"/>
  <c r="G24" i="9"/>
  <c r="G52" i="9"/>
  <c r="G51" i="9"/>
  <c r="F24" i="9"/>
  <c r="F52" i="9"/>
  <c r="F51" i="9"/>
  <c r="E24" i="9"/>
  <c r="E52" i="9"/>
  <c r="E51" i="9"/>
  <c r="D24" i="9"/>
  <c r="D52" i="9"/>
  <c r="D51" i="9"/>
  <c r="C24" i="9"/>
  <c r="C52" i="9"/>
  <c r="C51" i="9"/>
  <c r="B24" i="9"/>
  <c r="B52" i="9"/>
  <c r="B51" i="9"/>
  <c r="S20" i="9"/>
  <c r="S47" i="9"/>
  <c r="S46" i="9"/>
  <c r="R20" i="9"/>
  <c r="R47" i="9"/>
  <c r="R46" i="9"/>
  <c r="Q20" i="9"/>
  <c r="Q47" i="9"/>
  <c r="Q46" i="9"/>
  <c r="P20" i="9"/>
  <c r="O20" i="9"/>
  <c r="O47" i="9"/>
  <c r="O46" i="9"/>
  <c r="N20" i="9"/>
  <c r="N47" i="9"/>
  <c r="N46" i="9"/>
  <c r="M20" i="9"/>
  <c r="M47" i="9"/>
  <c r="M46" i="9"/>
  <c r="L20" i="9"/>
  <c r="L47" i="9"/>
  <c r="K20" i="9"/>
  <c r="K47" i="9"/>
  <c r="K46" i="9"/>
  <c r="J20" i="9"/>
  <c r="J47" i="9"/>
  <c r="J46" i="9"/>
  <c r="I20" i="9"/>
  <c r="I47" i="9"/>
  <c r="I46" i="9"/>
  <c r="H20" i="9"/>
  <c r="G20" i="9"/>
  <c r="F20" i="9"/>
  <c r="F47" i="9"/>
  <c r="F46" i="9"/>
  <c r="E20" i="9"/>
  <c r="E47" i="9"/>
  <c r="E46" i="9"/>
  <c r="D20" i="9"/>
  <c r="C20" i="9"/>
  <c r="C47" i="9"/>
  <c r="C46" i="9"/>
  <c r="B20" i="9"/>
  <c r="B47" i="9"/>
  <c r="B46" i="9"/>
  <c r="B17" i="9"/>
  <c r="B7" i="9"/>
  <c r="B16" i="9"/>
  <c r="B15" i="9"/>
  <c r="B5" i="9"/>
  <c r="B14" i="9"/>
  <c r="G47" i="9"/>
  <c r="G46" i="9"/>
  <c r="G45" i="9"/>
  <c r="G10" i="9"/>
  <c r="B45" i="9"/>
  <c r="B4" i="9"/>
  <c r="J45" i="9"/>
  <c r="J10" i="9"/>
  <c r="R45" i="9"/>
  <c r="R10" i="9"/>
  <c r="N56" i="9"/>
  <c r="N45" i="9"/>
  <c r="N10" i="9"/>
  <c r="N57" i="9"/>
  <c r="L45" i="9"/>
  <c r="L19" i="9"/>
  <c r="M45" i="9"/>
  <c r="F45" i="9"/>
  <c r="F10" i="9"/>
  <c r="B6" i="9"/>
  <c r="P19" i="9"/>
  <c r="I45" i="9"/>
  <c r="I10" i="9"/>
  <c r="Q45" i="9"/>
  <c r="Q10" i="9"/>
  <c r="C15" i="9"/>
  <c r="C5" i="9"/>
  <c r="D19" i="9"/>
  <c r="H19" i="9"/>
  <c r="B10" i="9"/>
  <c r="E45" i="9"/>
  <c r="E10" i="9"/>
  <c r="N19" i="9"/>
  <c r="R19" i="9"/>
  <c r="Q19" i="9"/>
  <c r="M19" i="9"/>
  <c r="M10" i="9"/>
  <c r="E19" i="9"/>
  <c r="B13" i="9"/>
  <c r="B9" i="9"/>
  <c r="B19" i="9"/>
  <c r="J19" i="9"/>
  <c r="D47" i="9"/>
  <c r="D46" i="9"/>
  <c r="D45" i="9"/>
  <c r="H47" i="9"/>
  <c r="H46" i="9"/>
  <c r="H45" i="9"/>
  <c r="F19" i="9"/>
  <c r="L46" i="9"/>
  <c r="I19" i="9"/>
  <c r="P47" i="9"/>
  <c r="P46" i="9"/>
  <c r="P45" i="9"/>
  <c r="C45" i="9"/>
  <c r="C14" i="9"/>
  <c r="D38" i="9"/>
  <c r="E38" i="9"/>
  <c r="C17" i="9"/>
  <c r="C7" i="9"/>
  <c r="C16" i="9"/>
  <c r="C6" i="9"/>
  <c r="K45" i="9"/>
  <c r="O45" i="9"/>
  <c r="S45" i="9"/>
  <c r="D39" i="9"/>
  <c r="C19" i="9"/>
  <c r="G19" i="9"/>
  <c r="K19" i="9"/>
  <c r="O19" i="9"/>
  <c r="S19" i="9"/>
  <c r="S10" i="9"/>
  <c r="B3" i="9"/>
  <c r="C4" i="9"/>
  <c r="C3" i="9"/>
  <c r="C10" i="9"/>
  <c r="P10" i="9"/>
  <c r="O10" i="9"/>
  <c r="L10" i="9"/>
  <c r="K10" i="9"/>
  <c r="H10" i="9"/>
  <c r="D10" i="9"/>
  <c r="C13" i="9"/>
  <c r="C9" i="9"/>
  <c r="F38" i="9"/>
  <c r="D14" i="9"/>
  <c r="D4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D15" i="9"/>
  <c r="D5" i="9"/>
  <c r="D17" i="9"/>
  <c r="D7" i="9"/>
  <c r="D16" i="9"/>
  <c r="D6" i="9"/>
  <c r="E15" i="9"/>
  <c r="E5" i="9"/>
  <c r="J18" i="7"/>
  <c r="I18" i="7"/>
  <c r="D3" i="9"/>
  <c r="K18" i="7"/>
  <c r="E17" i="9"/>
  <c r="E7" i="9"/>
  <c r="E16" i="9"/>
  <c r="E6" i="9"/>
  <c r="G38" i="9"/>
  <c r="F17" i="9"/>
  <c r="F7" i="9"/>
  <c r="F15" i="9"/>
  <c r="F5" i="9"/>
  <c r="F16" i="9"/>
  <c r="F6" i="9"/>
  <c r="F14" i="9"/>
  <c r="F4" i="9"/>
  <c r="D13" i="9"/>
  <c r="D9" i="9"/>
  <c r="E14" i="9"/>
  <c r="E4" i="9"/>
  <c r="L18" i="7"/>
  <c r="F3" i="9"/>
  <c r="E3" i="9"/>
  <c r="M18" i="7"/>
  <c r="F13" i="9"/>
  <c r="F9" i="9"/>
  <c r="G16" i="9"/>
  <c r="G6" i="9"/>
  <c r="G14" i="9"/>
  <c r="H38" i="9"/>
  <c r="G17" i="9"/>
  <c r="G7" i="9"/>
  <c r="G15" i="9"/>
  <c r="G5" i="9"/>
  <c r="E13" i="9"/>
  <c r="E9" i="9"/>
  <c r="G4" i="9"/>
  <c r="G3" i="9"/>
  <c r="N18" i="7"/>
  <c r="G13" i="9"/>
  <c r="G9" i="9"/>
  <c r="H16" i="9"/>
  <c r="H6" i="9"/>
  <c r="H14" i="9"/>
  <c r="H4" i="9"/>
  <c r="I38" i="9"/>
  <c r="H17" i="9"/>
  <c r="H7" i="9"/>
  <c r="H15" i="9"/>
  <c r="H5" i="9"/>
  <c r="O18" i="7"/>
  <c r="H3" i="9"/>
  <c r="J38" i="9"/>
  <c r="I17" i="9"/>
  <c r="I7" i="9"/>
  <c r="I15" i="9"/>
  <c r="I5" i="9"/>
  <c r="I16" i="9"/>
  <c r="I6" i="9"/>
  <c r="I14" i="9"/>
  <c r="I4" i="9"/>
  <c r="H13" i="9"/>
  <c r="H9" i="9"/>
  <c r="P18" i="7"/>
  <c r="I3" i="9"/>
  <c r="I13" i="9"/>
  <c r="I9" i="9"/>
  <c r="K38" i="9"/>
  <c r="J17" i="9"/>
  <c r="J7" i="9"/>
  <c r="J15" i="9"/>
  <c r="J5" i="9"/>
  <c r="J16" i="9"/>
  <c r="J6" i="9"/>
  <c r="J14" i="9"/>
  <c r="J4" i="9"/>
  <c r="Q18" i="7"/>
  <c r="J3" i="9"/>
  <c r="J13" i="9"/>
  <c r="J9" i="9"/>
  <c r="K16" i="9"/>
  <c r="K6" i="9"/>
  <c r="K14" i="9"/>
  <c r="K4" i="9"/>
  <c r="L38" i="9"/>
  <c r="K17" i="9"/>
  <c r="K7" i="9"/>
  <c r="K15" i="9"/>
  <c r="K5" i="9"/>
  <c r="R18" i="7"/>
  <c r="K3" i="9"/>
  <c r="L16" i="9"/>
  <c r="L6" i="9"/>
  <c r="L14" i="9"/>
  <c r="L4" i="9"/>
  <c r="M38" i="9"/>
  <c r="L17" i="9"/>
  <c r="L7" i="9"/>
  <c r="L15" i="9"/>
  <c r="L5" i="9"/>
  <c r="K13" i="9"/>
  <c r="K9" i="9"/>
  <c r="S18" i="7"/>
  <c r="L3" i="9"/>
  <c r="N38" i="9"/>
  <c r="M17" i="9"/>
  <c r="M7" i="9"/>
  <c r="M15" i="9"/>
  <c r="M5" i="9"/>
  <c r="M16" i="9"/>
  <c r="M6" i="9"/>
  <c r="M14" i="9"/>
  <c r="M4" i="9"/>
  <c r="L13" i="9"/>
  <c r="L9" i="9"/>
  <c r="M3" i="9"/>
  <c r="T18" i="7"/>
  <c r="M13" i="9"/>
  <c r="M9" i="9"/>
  <c r="O38" i="9"/>
  <c r="N17" i="9"/>
  <c r="N7" i="9"/>
  <c r="N15" i="9"/>
  <c r="N5" i="9"/>
  <c r="N16" i="9"/>
  <c r="N6" i="9"/>
  <c r="N14" i="9"/>
  <c r="N4" i="9"/>
  <c r="U18" i="7"/>
  <c r="N3" i="9"/>
  <c r="N13" i="9"/>
  <c r="N9" i="9"/>
  <c r="O16" i="9"/>
  <c r="O6" i="9"/>
  <c r="O14" i="9"/>
  <c r="O4" i="9"/>
  <c r="P38" i="9"/>
  <c r="O17" i="9"/>
  <c r="O7" i="9"/>
  <c r="O15" i="9"/>
  <c r="O5" i="9"/>
  <c r="O3" i="9"/>
  <c r="V18" i="7"/>
  <c r="P16" i="9"/>
  <c r="P6" i="9"/>
  <c r="P14" i="9"/>
  <c r="P4" i="9"/>
  <c r="Q38" i="9"/>
  <c r="P17" i="9"/>
  <c r="P7" i="9"/>
  <c r="P15" i="9"/>
  <c r="P5" i="9"/>
  <c r="O13" i="9"/>
  <c r="O9" i="9"/>
  <c r="P3" i="9"/>
  <c r="W18" i="7"/>
  <c r="R38" i="9"/>
  <c r="Q17" i="9"/>
  <c r="Q7" i="9"/>
  <c r="Q15" i="9"/>
  <c r="Q5" i="9"/>
  <c r="Q16" i="9"/>
  <c r="Q6" i="9"/>
  <c r="Q14" i="9"/>
  <c r="Q4" i="9"/>
  <c r="Q3" i="9"/>
  <c r="X18" i="7"/>
  <c r="P13" i="9"/>
  <c r="P9" i="9"/>
  <c r="Q13" i="9"/>
  <c r="Q9" i="9"/>
  <c r="S38" i="9"/>
  <c r="T38" i="9"/>
  <c r="R17" i="9"/>
  <c r="R7" i="9"/>
  <c r="R15" i="9"/>
  <c r="R5" i="9"/>
  <c r="R16" i="9"/>
  <c r="R6" i="9"/>
  <c r="R14" i="9"/>
  <c r="R4" i="9"/>
  <c r="T14" i="9"/>
  <c r="T17" i="9"/>
  <c r="T7" i="9"/>
  <c r="T16" i="9"/>
  <c r="T6" i="9"/>
  <c r="U38" i="9"/>
  <c r="T15" i="9"/>
  <c r="T5" i="9"/>
  <c r="R3" i="9"/>
  <c r="Y18" i="7"/>
  <c r="R13" i="9"/>
  <c r="R9" i="9"/>
  <c r="S16" i="9"/>
  <c r="S6" i="9"/>
  <c r="S14" i="9"/>
  <c r="S4" i="9"/>
  <c r="S17" i="9"/>
  <c r="S7" i="9"/>
  <c r="S15" i="9"/>
  <c r="S5" i="9"/>
  <c r="V38" i="9"/>
  <c r="U15" i="9"/>
  <c r="U5" i="9"/>
  <c r="U17" i="9"/>
  <c r="U7" i="9"/>
  <c r="U14" i="9"/>
  <c r="U16" i="9"/>
  <c r="U6" i="9"/>
  <c r="T4" i="9"/>
  <c r="T3" i="9"/>
  <c r="AA18" i="7"/>
  <c r="T13" i="9"/>
  <c r="T9" i="9"/>
  <c r="S3" i="9"/>
  <c r="Z18" i="7"/>
  <c r="S13" i="9"/>
  <c r="S9" i="9"/>
  <c r="U13" i="9"/>
  <c r="U9" i="9"/>
  <c r="U4" i="9"/>
  <c r="U3" i="9"/>
  <c r="AB18" i="7"/>
  <c r="V15" i="9"/>
  <c r="V5" i="9"/>
  <c r="W38" i="9"/>
  <c r="V14" i="9"/>
  <c r="V17" i="9"/>
  <c r="V7" i="9"/>
  <c r="V16" i="9"/>
  <c r="V6" i="9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G16" i="6"/>
  <c r="G14" i="6"/>
  <c r="B16" i="8"/>
  <c r="B15" i="8"/>
  <c r="BL13" i="8"/>
  <c r="Z13" i="8"/>
  <c r="E13" i="8"/>
  <c r="B7" i="8"/>
  <c r="BK4" i="8"/>
  <c r="B6" i="8"/>
  <c r="V13" i="9"/>
  <c r="V9" i="9"/>
  <c r="V4" i="9"/>
  <c r="V3" i="9"/>
  <c r="AC18" i="7"/>
  <c r="W15" i="9"/>
  <c r="W5" i="9"/>
  <c r="X38" i="9"/>
  <c r="W14" i="9"/>
  <c r="W17" i="9"/>
  <c r="W7" i="9"/>
  <c r="W16" i="9"/>
  <c r="W6" i="9"/>
  <c r="H4" i="8"/>
  <c r="G6" i="7"/>
  <c r="AN4" i="8"/>
  <c r="J9" i="7"/>
  <c r="G9" i="7"/>
  <c r="F9" i="7"/>
  <c r="R9" i="7"/>
  <c r="Z9" i="7"/>
  <c r="L9" i="7"/>
  <c r="N9" i="7"/>
  <c r="S9" i="7"/>
  <c r="T9" i="7"/>
  <c r="V9" i="7"/>
  <c r="AA9" i="7"/>
  <c r="H9" i="7"/>
  <c r="D9" i="7"/>
  <c r="AB9" i="7"/>
  <c r="O9" i="7"/>
  <c r="Y9" i="7"/>
  <c r="P9" i="7"/>
  <c r="W9" i="7"/>
  <c r="E9" i="7"/>
  <c r="X9" i="7"/>
  <c r="I9" i="7"/>
  <c r="M9" i="7"/>
  <c r="AC9" i="7"/>
  <c r="Q9" i="7"/>
  <c r="K9" i="7"/>
  <c r="U9" i="7"/>
  <c r="G10" i="7"/>
  <c r="L10" i="7"/>
  <c r="H10" i="7"/>
  <c r="S10" i="7"/>
  <c r="I10" i="7"/>
  <c r="R10" i="7"/>
  <c r="O10" i="7"/>
  <c r="P10" i="7"/>
  <c r="Z10" i="7"/>
  <c r="M10" i="7"/>
  <c r="J10" i="7"/>
  <c r="F10" i="7"/>
  <c r="K10" i="7"/>
  <c r="E10" i="7"/>
  <c r="Y10" i="7"/>
  <c r="D10" i="7"/>
  <c r="X10" i="7"/>
  <c r="Q10" i="7"/>
  <c r="N10" i="7"/>
  <c r="T10" i="7"/>
  <c r="L4" i="8"/>
  <c r="AR4" i="8"/>
  <c r="P4" i="8"/>
  <c r="AV4" i="8"/>
  <c r="T4" i="8"/>
  <c r="AZ4" i="8"/>
  <c r="X4" i="8"/>
  <c r="BD4" i="8"/>
  <c r="AB4" i="8"/>
  <c r="BH4" i="8"/>
  <c r="AF4" i="8"/>
  <c r="BL4" i="8"/>
  <c r="D4" i="8"/>
  <c r="J6" i="7"/>
  <c r="AJ4" i="8"/>
  <c r="BN4" i="8"/>
  <c r="AB6" i="7"/>
  <c r="F6" i="7"/>
  <c r="D6" i="7"/>
  <c r="I6" i="7"/>
  <c r="E6" i="7"/>
  <c r="P6" i="7"/>
  <c r="H6" i="7"/>
  <c r="AA6" i="7"/>
  <c r="P13" i="8"/>
  <c r="AF13" i="8"/>
  <c r="AP13" i="8"/>
  <c r="BF13" i="8"/>
  <c r="L13" i="8"/>
  <c r="V13" i="8"/>
  <c r="AG13" i="8"/>
  <c r="AR13" i="8"/>
  <c r="BB13" i="8"/>
  <c r="B13" i="8"/>
  <c r="H13" i="8"/>
  <c r="M13" i="8"/>
  <c r="R13" i="8"/>
  <c r="X13" i="8"/>
  <c r="AC13" i="8"/>
  <c r="AH13" i="8"/>
  <c r="AB10" i="7"/>
  <c r="AN13" i="8"/>
  <c r="AS13" i="8"/>
  <c r="AX13" i="8"/>
  <c r="BD13" i="8"/>
  <c r="BM13" i="8"/>
  <c r="J13" i="8"/>
  <c r="V10" i="7"/>
  <c r="U13" i="8"/>
  <c r="AK13" i="8"/>
  <c r="AV13" i="8"/>
  <c r="BA13" i="8"/>
  <c r="F13" i="8"/>
  <c r="U10" i="7"/>
  <c r="Q13" i="8"/>
  <c r="AB13" i="8"/>
  <c r="AL13" i="8"/>
  <c r="AC10" i="7"/>
  <c r="AW13" i="8"/>
  <c r="BH13" i="8"/>
  <c r="D13" i="8"/>
  <c r="I13" i="8"/>
  <c r="N13" i="8"/>
  <c r="W10" i="7"/>
  <c r="T13" i="8"/>
  <c r="Y13" i="8"/>
  <c r="AD13" i="8"/>
  <c r="AA10" i="7"/>
  <c r="AJ13" i="8"/>
  <c r="AO13" i="8"/>
  <c r="AT13" i="8"/>
  <c r="AZ13" i="8"/>
  <c r="BE13" i="8"/>
  <c r="BN13" i="8"/>
  <c r="BI13" i="8"/>
  <c r="BJ13" i="8"/>
  <c r="C13" i="8"/>
  <c r="G13" i="8"/>
  <c r="K13" i="8"/>
  <c r="O13" i="8"/>
  <c r="S13" i="8"/>
  <c r="W13" i="8"/>
  <c r="AA13" i="8"/>
  <c r="AE13" i="8"/>
  <c r="AI13" i="8"/>
  <c r="AM13" i="8"/>
  <c r="AQ13" i="8"/>
  <c r="AU13" i="8"/>
  <c r="AY13" i="8"/>
  <c r="BC13" i="8"/>
  <c r="BG13" i="8"/>
  <c r="BK13" i="8"/>
  <c r="E4" i="8"/>
  <c r="Q4" i="8"/>
  <c r="AC4" i="8"/>
  <c r="AO4" i="8"/>
  <c r="AW4" i="8"/>
  <c r="BE4" i="8"/>
  <c r="BM4" i="8"/>
  <c r="I4" i="8"/>
  <c r="U4" i="8"/>
  <c r="AG4" i="8"/>
  <c r="B4" i="8"/>
  <c r="F4" i="8"/>
  <c r="K6" i="7"/>
  <c r="J4" i="8"/>
  <c r="L6" i="7"/>
  <c r="N4" i="8"/>
  <c r="M6" i="7"/>
  <c r="R4" i="8"/>
  <c r="V4" i="8"/>
  <c r="O6" i="7"/>
  <c r="Z4" i="8"/>
  <c r="AD4" i="8"/>
  <c r="Q6" i="7"/>
  <c r="AH4" i="8"/>
  <c r="AL4" i="8"/>
  <c r="S6" i="7"/>
  <c r="AP4" i="8"/>
  <c r="T6" i="7"/>
  <c r="AT4" i="8"/>
  <c r="U6" i="7"/>
  <c r="AX4" i="8"/>
  <c r="BB4" i="8"/>
  <c r="W6" i="7"/>
  <c r="BF4" i="8"/>
  <c r="X6" i="7"/>
  <c r="BJ4" i="8"/>
  <c r="Y6" i="7"/>
  <c r="M4" i="8"/>
  <c r="Y4" i="8"/>
  <c r="AK4" i="8"/>
  <c r="AS4" i="8"/>
  <c r="BA4" i="8"/>
  <c r="BI4" i="8"/>
  <c r="C4" i="8"/>
  <c r="G4" i="8"/>
  <c r="K4" i="8"/>
  <c r="O4" i="8"/>
  <c r="S4" i="8"/>
  <c r="W4" i="8"/>
  <c r="AA4" i="8"/>
  <c r="AE4" i="8"/>
  <c r="AI4" i="8"/>
  <c r="AM4" i="8"/>
  <c r="AQ4" i="8"/>
  <c r="AU4" i="8"/>
  <c r="AY4" i="8"/>
  <c r="BC4" i="8"/>
  <c r="BG4" i="8"/>
  <c r="Z6" i="7"/>
  <c r="R6" i="7"/>
  <c r="V6" i="7"/>
  <c r="W13" i="9"/>
  <c r="W9" i="9"/>
  <c r="W4" i="9"/>
  <c r="W3" i="9"/>
  <c r="X15" i="9"/>
  <c r="X5" i="9"/>
  <c r="X17" i="9"/>
  <c r="X7" i="9"/>
  <c r="X14" i="9"/>
  <c r="X16" i="9"/>
  <c r="X6" i="9"/>
  <c r="N6" i="7"/>
  <c r="AC6" i="7"/>
  <c r="F7" i="6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D22" i="5"/>
  <c r="E22" i="5"/>
  <c r="F22" i="5"/>
  <c r="G22" i="5"/>
  <c r="H22" i="5"/>
  <c r="H3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D23" i="5"/>
  <c r="D33" i="5"/>
  <c r="E23" i="5"/>
  <c r="E33" i="5"/>
  <c r="F23" i="5"/>
  <c r="F33" i="5"/>
  <c r="G23" i="5"/>
  <c r="G33" i="5"/>
  <c r="H23" i="5"/>
  <c r="H33" i="5"/>
  <c r="I23" i="5"/>
  <c r="I33" i="5"/>
  <c r="J23" i="5"/>
  <c r="J33" i="5"/>
  <c r="K23" i="5"/>
  <c r="K33" i="5"/>
  <c r="L23" i="5"/>
  <c r="L33" i="5"/>
  <c r="M23" i="5"/>
  <c r="M33" i="5"/>
  <c r="N23" i="5"/>
  <c r="N33" i="5"/>
  <c r="O23" i="5"/>
  <c r="O33" i="5"/>
  <c r="P23" i="5"/>
  <c r="P33" i="5"/>
  <c r="Q23" i="5"/>
  <c r="Q33" i="5"/>
  <c r="R23" i="5"/>
  <c r="R33" i="5"/>
  <c r="S23" i="5"/>
  <c r="S33" i="5"/>
  <c r="T23" i="5"/>
  <c r="T33" i="5"/>
  <c r="U23" i="5"/>
  <c r="U33" i="5"/>
  <c r="V23" i="5"/>
  <c r="V33" i="5"/>
  <c r="W23" i="5"/>
  <c r="W33" i="5"/>
  <c r="X23" i="5"/>
  <c r="X33" i="5"/>
  <c r="Y23" i="5"/>
  <c r="Y33" i="5"/>
  <c r="Z23" i="5"/>
  <c r="Z33" i="5"/>
  <c r="AA23" i="5"/>
  <c r="AA33" i="5"/>
  <c r="AB23" i="5"/>
  <c r="AB3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33" i="5"/>
  <c r="C3" i="5"/>
  <c r="C76" i="4"/>
  <c r="I76" i="4"/>
  <c r="D76" i="4"/>
  <c r="E76" i="4"/>
  <c r="F76" i="4"/>
  <c r="G76" i="4"/>
  <c r="H76" i="4"/>
  <c r="D77" i="4"/>
  <c r="E77" i="4"/>
  <c r="F77" i="4"/>
  <c r="G77" i="4"/>
  <c r="H77" i="4"/>
  <c r="D78" i="4"/>
  <c r="E78" i="4"/>
  <c r="F78" i="4"/>
  <c r="G78" i="4"/>
  <c r="H78" i="4"/>
  <c r="D79" i="4"/>
  <c r="E79" i="4"/>
  <c r="F79" i="4"/>
  <c r="G79" i="4"/>
  <c r="H79" i="4"/>
  <c r="D80" i="4"/>
  <c r="E80" i="4"/>
  <c r="F80" i="4"/>
  <c r="G80" i="4"/>
  <c r="H80" i="4"/>
  <c r="D81" i="4"/>
  <c r="E81" i="4"/>
  <c r="F81" i="4"/>
  <c r="G81" i="4"/>
  <c r="H81" i="4"/>
  <c r="D82" i="4"/>
  <c r="E82" i="4"/>
  <c r="F82" i="4"/>
  <c r="G82" i="4"/>
  <c r="H82" i="4"/>
  <c r="D83" i="4"/>
  <c r="E83" i="4"/>
  <c r="I83" i="4"/>
  <c r="F83" i="4"/>
  <c r="G83" i="4"/>
  <c r="H83" i="4"/>
  <c r="D84" i="4"/>
  <c r="E84" i="4"/>
  <c r="F84" i="4"/>
  <c r="G84" i="4"/>
  <c r="H84" i="4"/>
  <c r="D85" i="4"/>
  <c r="E85" i="4"/>
  <c r="F85" i="4"/>
  <c r="G85" i="4"/>
  <c r="H85" i="4"/>
  <c r="D86" i="4"/>
  <c r="E86" i="4"/>
  <c r="F86" i="4"/>
  <c r="G86" i="4"/>
  <c r="H86" i="4"/>
  <c r="C77" i="4"/>
  <c r="I77" i="4"/>
  <c r="C78" i="4"/>
  <c r="C79" i="4"/>
  <c r="I79" i="4"/>
  <c r="C80" i="4"/>
  <c r="C81" i="4"/>
  <c r="C82" i="4"/>
  <c r="I82" i="4"/>
  <c r="C83" i="4"/>
  <c r="C84" i="4"/>
  <c r="I84" i="4"/>
  <c r="C85" i="4"/>
  <c r="I85" i="4"/>
  <c r="C86" i="4"/>
  <c r="C62" i="4"/>
  <c r="C71" i="4"/>
  <c r="D62" i="4"/>
  <c r="E62" i="4"/>
  <c r="F62" i="4"/>
  <c r="G62" i="4"/>
  <c r="H62" i="4"/>
  <c r="D63" i="4"/>
  <c r="E63" i="4"/>
  <c r="F63" i="4"/>
  <c r="G63" i="4"/>
  <c r="H63" i="4"/>
  <c r="D64" i="4"/>
  <c r="E64" i="4"/>
  <c r="F64" i="4"/>
  <c r="G64" i="4"/>
  <c r="H64" i="4"/>
  <c r="D65" i="4"/>
  <c r="E65" i="4"/>
  <c r="F65" i="4"/>
  <c r="G65" i="4"/>
  <c r="H65" i="4"/>
  <c r="D66" i="4"/>
  <c r="E66" i="4"/>
  <c r="F66" i="4"/>
  <c r="G66" i="4"/>
  <c r="H66" i="4"/>
  <c r="D67" i="4"/>
  <c r="E67" i="4"/>
  <c r="F67" i="4"/>
  <c r="G67" i="4"/>
  <c r="H67" i="4"/>
  <c r="D68" i="4"/>
  <c r="E68" i="4"/>
  <c r="F68" i="4"/>
  <c r="G68" i="4"/>
  <c r="H68" i="4"/>
  <c r="D69" i="4"/>
  <c r="E69" i="4"/>
  <c r="F69" i="4"/>
  <c r="G69" i="4"/>
  <c r="H69" i="4"/>
  <c r="D70" i="4"/>
  <c r="E70" i="4"/>
  <c r="F70" i="4"/>
  <c r="G70" i="4"/>
  <c r="H70" i="4"/>
  <c r="D71" i="4"/>
  <c r="E71" i="4"/>
  <c r="F71" i="4"/>
  <c r="G71" i="4"/>
  <c r="H71" i="4"/>
  <c r="D72" i="4"/>
  <c r="E72" i="4"/>
  <c r="F72" i="4"/>
  <c r="G72" i="4"/>
  <c r="H72" i="4"/>
  <c r="C63" i="4"/>
  <c r="C64" i="4"/>
  <c r="C65" i="4"/>
  <c r="C66" i="4"/>
  <c r="C67" i="4"/>
  <c r="C68" i="4"/>
  <c r="C69" i="4"/>
  <c r="C70" i="4"/>
  <c r="C72" i="4"/>
  <c r="D48" i="4"/>
  <c r="E48" i="4"/>
  <c r="F48" i="4"/>
  <c r="G48" i="4"/>
  <c r="H48" i="4"/>
  <c r="I48" i="4"/>
  <c r="J48" i="4"/>
  <c r="D49" i="4"/>
  <c r="F104" i="4"/>
  <c r="C73" i="5"/>
  <c r="E49" i="4"/>
  <c r="F105" i="4"/>
  <c r="C74" i="5"/>
  <c r="F49" i="4"/>
  <c r="F106" i="4"/>
  <c r="C75" i="5"/>
  <c r="G49" i="4"/>
  <c r="F107" i="4"/>
  <c r="C76" i="5"/>
  <c r="H49" i="4"/>
  <c r="F108" i="4"/>
  <c r="C77" i="5"/>
  <c r="I49" i="4"/>
  <c r="F109" i="4"/>
  <c r="C78" i="5"/>
  <c r="J49" i="4"/>
  <c r="F110" i="4"/>
  <c r="C79" i="5"/>
  <c r="D50" i="4"/>
  <c r="E50" i="4"/>
  <c r="F50" i="4"/>
  <c r="G50" i="4"/>
  <c r="H50" i="4"/>
  <c r="I50" i="4"/>
  <c r="J50" i="4"/>
  <c r="D51" i="4"/>
  <c r="E104" i="4"/>
  <c r="C61" i="5"/>
  <c r="E51" i="4"/>
  <c r="E105" i="4"/>
  <c r="C62" i="5"/>
  <c r="F51" i="4"/>
  <c r="E106" i="4"/>
  <c r="C63" i="5"/>
  <c r="G51" i="4"/>
  <c r="E107" i="4"/>
  <c r="C64" i="5"/>
  <c r="H51" i="4"/>
  <c r="E108" i="4"/>
  <c r="C65" i="5"/>
  <c r="I51" i="4"/>
  <c r="E109" i="4"/>
  <c r="C66" i="5"/>
  <c r="J51" i="4"/>
  <c r="E110" i="4"/>
  <c r="C67" i="5"/>
  <c r="D52" i="4"/>
  <c r="D104" i="4"/>
  <c r="C49" i="5"/>
  <c r="E52" i="4"/>
  <c r="D105" i="4"/>
  <c r="C50" i="5"/>
  <c r="F52" i="4"/>
  <c r="D106" i="4"/>
  <c r="C51" i="5"/>
  <c r="G52" i="4"/>
  <c r="D107" i="4"/>
  <c r="C52" i="5"/>
  <c r="H52" i="4"/>
  <c r="D108" i="4"/>
  <c r="C53" i="5"/>
  <c r="I52" i="4"/>
  <c r="D109" i="4"/>
  <c r="C54" i="5"/>
  <c r="J52" i="4"/>
  <c r="D110" i="4"/>
  <c r="C55" i="5"/>
  <c r="D53" i="4"/>
  <c r="E53" i="4"/>
  <c r="F53" i="4"/>
  <c r="G53" i="4"/>
  <c r="H53" i="4"/>
  <c r="I53" i="4"/>
  <c r="J53" i="4"/>
  <c r="D54" i="4"/>
  <c r="E54" i="4"/>
  <c r="F54" i="4"/>
  <c r="G54" i="4"/>
  <c r="H54" i="4"/>
  <c r="I54" i="4"/>
  <c r="J54" i="4"/>
  <c r="D55" i="4"/>
  <c r="E55" i="4"/>
  <c r="F55" i="4"/>
  <c r="G55" i="4"/>
  <c r="H55" i="4"/>
  <c r="I55" i="4"/>
  <c r="J55" i="4"/>
  <c r="D56" i="4"/>
  <c r="E56" i="4"/>
  <c r="F56" i="4"/>
  <c r="G56" i="4"/>
  <c r="H56" i="4"/>
  <c r="I56" i="4"/>
  <c r="J56" i="4"/>
  <c r="D57" i="4"/>
  <c r="C104" i="4"/>
  <c r="C37" i="5"/>
  <c r="E57" i="4"/>
  <c r="C105" i="4"/>
  <c r="C38" i="5"/>
  <c r="F57" i="4"/>
  <c r="C106" i="4"/>
  <c r="C39" i="5"/>
  <c r="G57" i="4"/>
  <c r="C107" i="4"/>
  <c r="C40" i="5"/>
  <c r="H57" i="4"/>
  <c r="C108" i="4"/>
  <c r="C41" i="5"/>
  <c r="I57" i="4"/>
  <c r="C109" i="4"/>
  <c r="C42" i="5"/>
  <c r="J57" i="4"/>
  <c r="C110" i="4"/>
  <c r="C43" i="5"/>
  <c r="D58" i="4"/>
  <c r="E58" i="4"/>
  <c r="F58" i="4"/>
  <c r="G58" i="4"/>
  <c r="H58" i="4"/>
  <c r="I58" i="4"/>
  <c r="J58" i="4"/>
  <c r="C49" i="4"/>
  <c r="C50" i="4"/>
  <c r="L50" i="4"/>
  <c r="C51" i="4"/>
  <c r="E103" i="4"/>
  <c r="C60" i="5"/>
  <c r="C52" i="4"/>
  <c r="D103" i="4"/>
  <c r="C48" i="5"/>
  <c r="C53" i="4"/>
  <c r="L53" i="4"/>
  <c r="C54" i="4"/>
  <c r="C55" i="4"/>
  <c r="C56" i="4"/>
  <c r="C57" i="4"/>
  <c r="C58" i="4"/>
  <c r="L58" i="4"/>
  <c r="C48" i="4"/>
  <c r="K48" i="4"/>
  <c r="K49" i="4"/>
  <c r="F111" i="4"/>
  <c r="C80" i="5"/>
  <c r="K50" i="4"/>
  <c r="K51" i="4"/>
  <c r="E111" i="4"/>
  <c r="C68" i="5"/>
  <c r="K52" i="4"/>
  <c r="D111" i="4"/>
  <c r="C56" i="5"/>
  <c r="K53" i="4"/>
  <c r="K54" i="4"/>
  <c r="K55" i="4"/>
  <c r="K56" i="4"/>
  <c r="K57" i="4"/>
  <c r="C111" i="4"/>
  <c r="C44" i="5"/>
  <c r="K58" i="4"/>
  <c r="D22" i="4"/>
  <c r="E22" i="4"/>
  <c r="F22" i="4"/>
  <c r="G22" i="4"/>
  <c r="H22" i="4"/>
  <c r="I22" i="4"/>
  <c r="J22" i="4"/>
  <c r="K22" i="4"/>
  <c r="C22" i="4"/>
  <c r="D38" i="4"/>
  <c r="E38" i="4"/>
  <c r="F38" i="4"/>
  <c r="G38" i="4"/>
  <c r="H38" i="4"/>
  <c r="C38" i="4"/>
  <c r="L57" i="4"/>
  <c r="L49" i="4"/>
  <c r="I69" i="4"/>
  <c r="G97" i="4"/>
  <c r="X4" i="9"/>
  <c r="X3" i="9"/>
  <c r="X13" i="9"/>
  <c r="X9" i="9"/>
  <c r="L56" i="4"/>
  <c r="I64" i="4"/>
  <c r="D92" i="4"/>
  <c r="L54" i="4"/>
  <c r="L48" i="4"/>
  <c r="I66" i="4"/>
  <c r="D94" i="4"/>
  <c r="C103" i="4"/>
  <c r="C36" i="5"/>
  <c r="L55" i="4"/>
  <c r="I86" i="4"/>
  <c r="I78" i="4"/>
  <c r="F103" i="4"/>
  <c r="C72" i="5"/>
  <c r="I81" i="4"/>
  <c r="I63" i="4"/>
  <c r="G91" i="4"/>
  <c r="F99" i="4"/>
  <c r="H97" i="4"/>
  <c r="I71" i="4"/>
  <c r="G99" i="4"/>
  <c r="I80" i="4"/>
  <c r="E91" i="4"/>
  <c r="F97" i="4"/>
  <c r="C97" i="4"/>
  <c r="E97" i="4"/>
  <c r="G95" i="4"/>
  <c r="D97" i="4"/>
  <c r="F95" i="4"/>
  <c r="E92" i="4"/>
  <c r="H94" i="4"/>
  <c r="H99" i="4"/>
  <c r="D95" i="4"/>
  <c r="C92" i="4"/>
  <c r="L51" i="4"/>
  <c r="P51" i="4"/>
  <c r="I68" i="4"/>
  <c r="D96" i="4"/>
  <c r="L52" i="4"/>
  <c r="I67" i="4"/>
  <c r="E95" i="4"/>
  <c r="I62" i="4"/>
  <c r="F90" i="4"/>
  <c r="F92" i="4"/>
  <c r="I70" i="4"/>
  <c r="C98" i="4"/>
  <c r="C99" i="4"/>
  <c r="I65" i="4"/>
  <c r="I72" i="4"/>
  <c r="D100" i="4"/>
  <c r="C32" i="5"/>
  <c r="AA32" i="5"/>
  <c r="S32" i="5"/>
  <c r="K32" i="5"/>
  <c r="Y31" i="5"/>
  <c r="Q31" i="5"/>
  <c r="Q25" i="5"/>
  <c r="M25" i="5"/>
  <c r="I25" i="5"/>
  <c r="W32" i="5"/>
  <c r="O32" i="5"/>
  <c r="G32" i="5"/>
  <c r="U31" i="5"/>
  <c r="M31" i="5"/>
  <c r="I31" i="5"/>
  <c r="E31" i="5"/>
  <c r="AA30" i="5"/>
  <c r="W30" i="5"/>
  <c r="S30" i="5"/>
  <c r="O30" i="5"/>
  <c r="K30" i="5"/>
  <c r="G30" i="5"/>
  <c r="Y29" i="5"/>
  <c r="U29" i="5"/>
  <c r="Q29" i="5"/>
  <c r="M29" i="5"/>
  <c r="I29" i="5"/>
  <c r="E29" i="5"/>
  <c r="AA28" i="5"/>
  <c r="W28" i="5"/>
  <c r="S28" i="5"/>
  <c r="O28" i="5"/>
  <c r="K28" i="5"/>
  <c r="G28" i="5"/>
  <c r="Y27" i="5"/>
  <c r="U27" i="5"/>
  <c r="Q27" i="5"/>
  <c r="M27" i="5"/>
  <c r="I27" i="5"/>
  <c r="E27" i="5"/>
  <c r="AA26" i="5"/>
  <c r="W26" i="5"/>
  <c r="S26" i="5"/>
  <c r="O26" i="5"/>
  <c r="K26" i="5"/>
  <c r="Y25" i="5"/>
  <c r="U25" i="5"/>
  <c r="C69" i="5"/>
  <c r="C81" i="5"/>
  <c r="C31" i="5"/>
  <c r="T31" i="5"/>
  <c r="C45" i="5"/>
  <c r="O56" i="5"/>
  <c r="D31" i="5"/>
  <c r="W56" i="5"/>
  <c r="G56" i="5"/>
  <c r="Y32" i="5"/>
  <c r="Y43" i="5"/>
  <c r="U32" i="5"/>
  <c r="Q32" i="5"/>
  <c r="M32" i="5"/>
  <c r="I32" i="5"/>
  <c r="E32" i="5"/>
  <c r="AA31" i="5"/>
  <c r="W31" i="5"/>
  <c r="S31" i="5"/>
  <c r="S66" i="5"/>
  <c r="O31" i="5"/>
  <c r="K31" i="5"/>
  <c r="G31" i="5"/>
  <c r="G42" i="5"/>
  <c r="U30" i="5"/>
  <c r="M30" i="5"/>
  <c r="E30" i="5"/>
  <c r="W29" i="5"/>
  <c r="Y28" i="5"/>
  <c r="S27" i="5"/>
  <c r="O27" i="5"/>
  <c r="K27" i="5"/>
  <c r="G27" i="5"/>
  <c r="C28" i="5"/>
  <c r="AB32" i="5"/>
  <c r="Q80" i="5"/>
  <c r="Q78" i="5"/>
  <c r="C30" i="5"/>
  <c r="C26" i="5"/>
  <c r="X32" i="5"/>
  <c r="T32" i="5"/>
  <c r="P32" i="5"/>
  <c r="L32" i="5"/>
  <c r="D32" i="5"/>
  <c r="Z31" i="5"/>
  <c r="Z66" i="5"/>
  <c r="V31" i="5"/>
  <c r="V66" i="5"/>
  <c r="R31" i="5"/>
  <c r="N31" i="5"/>
  <c r="J31" i="5"/>
  <c r="J66" i="5"/>
  <c r="F31" i="5"/>
  <c r="F66" i="5"/>
  <c r="AB30" i="5"/>
  <c r="X30" i="5"/>
  <c r="T30" i="5"/>
  <c r="P30" i="5"/>
  <c r="L30" i="5"/>
  <c r="H30" i="5"/>
  <c r="D30" i="5"/>
  <c r="Z29" i="5"/>
  <c r="V29" i="5"/>
  <c r="R29" i="5"/>
  <c r="N29" i="5"/>
  <c r="J29" i="5"/>
  <c r="F29" i="5"/>
  <c r="AB28" i="5"/>
  <c r="X28" i="5"/>
  <c r="X75" i="5"/>
  <c r="T28" i="5"/>
  <c r="T75" i="5"/>
  <c r="P28" i="5"/>
  <c r="L28" i="5"/>
  <c r="Z27" i="5"/>
  <c r="V27" i="5"/>
  <c r="AB26" i="5"/>
  <c r="X26" i="5"/>
  <c r="T26" i="5"/>
  <c r="P26" i="5"/>
  <c r="L26" i="5"/>
  <c r="H26" i="5"/>
  <c r="D26" i="5"/>
  <c r="Z25" i="5"/>
  <c r="F56" i="5"/>
  <c r="S56" i="5"/>
  <c r="D68" i="5"/>
  <c r="I80" i="5"/>
  <c r="J68" i="5"/>
  <c r="G26" i="5"/>
  <c r="E25" i="5"/>
  <c r="S51" i="5"/>
  <c r="W51" i="5"/>
  <c r="L80" i="5"/>
  <c r="T80" i="5"/>
  <c r="AB80" i="5"/>
  <c r="E80" i="5"/>
  <c r="M80" i="5"/>
  <c r="U80" i="5"/>
  <c r="I56" i="5"/>
  <c r="M56" i="5"/>
  <c r="Q56" i="5"/>
  <c r="U56" i="5"/>
  <c r="Y56" i="5"/>
  <c r="P44" i="5"/>
  <c r="H80" i="5"/>
  <c r="P80" i="5"/>
  <c r="X80" i="5"/>
  <c r="D80" i="5"/>
  <c r="N56" i="5"/>
  <c r="R56" i="5"/>
  <c r="V56" i="5"/>
  <c r="Z56" i="5"/>
  <c r="C27" i="5"/>
  <c r="AB31" i="5"/>
  <c r="AB54" i="5"/>
  <c r="X31" i="5"/>
  <c r="X54" i="5"/>
  <c r="P31" i="5"/>
  <c r="P66" i="5"/>
  <c r="L31" i="5"/>
  <c r="L54" i="5"/>
  <c r="H31" i="5"/>
  <c r="H54" i="5"/>
  <c r="Y30" i="5"/>
  <c r="Q30" i="5"/>
  <c r="I30" i="5"/>
  <c r="Z30" i="5"/>
  <c r="V30" i="5"/>
  <c r="R30" i="5"/>
  <c r="N30" i="5"/>
  <c r="J30" i="5"/>
  <c r="F30" i="5"/>
  <c r="AA29" i="5"/>
  <c r="L29" i="5"/>
  <c r="D29" i="5"/>
  <c r="Z28" i="5"/>
  <c r="Z75" i="5"/>
  <c r="R28" i="5"/>
  <c r="R51" i="5"/>
  <c r="N28" i="5"/>
  <c r="N63" i="5"/>
  <c r="AA27" i="5"/>
  <c r="W27" i="5"/>
  <c r="Z26" i="5"/>
  <c r="AB25" i="5"/>
  <c r="X25" i="5"/>
  <c r="AA56" i="5"/>
  <c r="K56" i="5"/>
  <c r="F68" i="5"/>
  <c r="Y80" i="5"/>
  <c r="M54" i="5"/>
  <c r="Q54" i="5"/>
  <c r="D54" i="5"/>
  <c r="J56" i="5"/>
  <c r="K78" i="5"/>
  <c r="O78" i="5"/>
  <c r="C57" i="5"/>
  <c r="O54" i="5"/>
  <c r="G68" i="5"/>
  <c r="K68" i="5"/>
  <c r="O68" i="5"/>
  <c r="S68" i="5"/>
  <c r="W68" i="5"/>
  <c r="AA68" i="5"/>
  <c r="H68" i="5"/>
  <c r="L68" i="5"/>
  <c r="P68" i="5"/>
  <c r="T68" i="5"/>
  <c r="X68" i="5"/>
  <c r="AB68" i="5"/>
  <c r="E68" i="5"/>
  <c r="I68" i="5"/>
  <c r="M68" i="5"/>
  <c r="Q68" i="5"/>
  <c r="U68" i="5"/>
  <c r="Y68" i="5"/>
  <c r="N68" i="5"/>
  <c r="R68" i="5"/>
  <c r="F80" i="5"/>
  <c r="M78" i="5"/>
  <c r="Z68" i="5"/>
  <c r="E56" i="5"/>
  <c r="D56" i="5"/>
  <c r="AB56" i="5"/>
  <c r="X56" i="5"/>
  <c r="T56" i="5"/>
  <c r="P56" i="5"/>
  <c r="L56" i="5"/>
  <c r="H56" i="5"/>
  <c r="N54" i="5"/>
  <c r="V68" i="5"/>
  <c r="G63" i="5"/>
  <c r="W63" i="5"/>
  <c r="D66" i="5"/>
  <c r="AA80" i="5"/>
  <c r="W80" i="5"/>
  <c r="S80" i="5"/>
  <c r="O80" i="5"/>
  <c r="K80" i="5"/>
  <c r="G80" i="5"/>
  <c r="S77" i="5"/>
  <c r="O66" i="5"/>
  <c r="AB66" i="5"/>
  <c r="I66" i="5"/>
  <c r="M66" i="5"/>
  <c r="Q66" i="5"/>
  <c r="Z80" i="5"/>
  <c r="V80" i="5"/>
  <c r="R80" i="5"/>
  <c r="N80" i="5"/>
  <c r="J80" i="5"/>
  <c r="G39" i="5"/>
  <c r="W39" i="5"/>
  <c r="I42" i="5"/>
  <c r="M42" i="5"/>
  <c r="Q42" i="5"/>
  <c r="O42" i="5"/>
  <c r="D42" i="5"/>
  <c r="G44" i="5"/>
  <c r="K44" i="5"/>
  <c r="O44" i="5"/>
  <c r="S44" i="5"/>
  <c r="W44" i="5"/>
  <c r="AA44" i="5"/>
  <c r="H44" i="5"/>
  <c r="X44" i="5"/>
  <c r="L44" i="5"/>
  <c r="AB44" i="5"/>
  <c r="C29" i="5"/>
  <c r="C25" i="5"/>
  <c r="Q36" i="5"/>
  <c r="Z32" i="5"/>
  <c r="Z67" i="5"/>
  <c r="V32" i="5"/>
  <c r="R32" i="5"/>
  <c r="N32" i="5"/>
  <c r="J32" i="5"/>
  <c r="F32" i="5"/>
  <c r="AB29" i="5"/>
  <c r="X29" i="5"/>
  <c r="T29" i="5"/>
  <c r="P29" i="5"/>
  <c r="H29" i="5"/>
  <c r="V28" i="5"/>
  <c r="V51" i="5"/>
  <c r="J28" i="5"/>
  <c r="J39" i="5"/>
  <c r="F28" i="5"/>
  <c r="F51" i="5"/>
  <c r="AB27" i="5"/>
  <c r="X27" i="5"/>
  <c r="T27" i="5"/>
  <c r="P27" i="5"/>
  <c r="L27" i="5"/>
  <c r="H27" i="5"/>
  <c r="D27" i="5"/>
  <c r="V26" i="5"/>
  <c r="R26" i="5"/>
  <c r="R49" i="5"/>
  <c r="N26" i="5"/>
  <c r="J26" i="5"/>
  <c r="F26" i="5"/>
  <c r="T25" i="5"/>
  <c r="P25" i="5"/>
  <c r="L25" i="5"/>
  <c r="H25" i="5"/>
  <c r="D25" i="5"/>
  <c r="T44" i="5"/>
  <c r="S29" i="5"/>
  <c r="O29" i="5"/>
  <c r="K29" i="5"/>
  <c r="G29" i="5"/>
  <c r="U28" i="5"/>
  <c r="U39" i="5"/>
  <c r="Q28" i="5"/>
  <c r="Q51" i="5"/>
  <c r="M28" i="5"/>
  <c r="M51" i="5"/>
  <c r="I28" i="5"/>
  <c r="I75" i="5"/>
  <c r="E28" i="5"/>
  <c r="E39" i="5"/>
  <c r="Y26" i="5"/>
  <c r="Y61" i="5"/>
  <c r="U26" i="5"/>
  <c r="Q26" i="5"/>
  <c r="M26" i="5"/>
  <c r="I26" i="5"/>
  <c r="I61" i="5"/>
  <c r="E26" i="5"/>
  <c r="AA25" i="5"/>
  <c r="AA72" i="5"/>
  <c r="W25" i="5"/>
  <c r="S25" i="5"/>
  <c r="O25" i="5"/>
  <c r="K25" i="5"/>
  <c r="G25" i="5"/>
  <c r="H28" i="5"/>
  <c r="H39" i="5"/>
  <c r="D28" i="5"/>
  <c r="D39" i="5"/>
  <c r="R27" i="5"/>
  <c r="N27" i="5"/>
  <c r="J27" i="5"/>
  <c r="F27" i="5"/>
  <c r="V25" i="5"/>
  <c r="R25" i="5"/>
  <c r="N25" i="5"/>
  <c r="J25" i="5"/>
  <c r="F25" i="5"/>
  <c r="E44" i="5"/>
  <c r="Z44" i="5"/>
  <c r="V44" i="5"/>
  <c r="R44" i="5"/>
  <c r="N44" i="5"/>
  <c r="J44" i="5"/>
  <c r="F44" i="5"/>
  <c r="D44" i="5"/>
  <c r="Y44" i="5"/>
  <c r="U44" i="5"/>
  <c r="Q44" i="5"/>
  <c r="M44" i="5"/>
  <c r="I44" i="5"/>
  <c r="E99" i="4"/>
  <c r="P50" i="4"/>
  <c r="G92" i="4"/>
  <c r="I92" i="4"/>
  <c r="H91" i="4"/>
  <c r="C96" i="4"/>
  <c r="F91" i="4"/>
  <c r="P48" i="4"/>
  <c r="D91" i="4"/>
  <c r="P54" i="4"/>
  <c r="P49" i="4"/>
  <c r="Q79" i="5"/>
  <c r="C95" i="4"/>
  <c r="H95" i="4"/>
  <c r="P57" i="4"/>
  <c r="P52" i="4"/>
  <c r="H90" i="4"/>
  <c r="D99" i="4"/>
  <c r="G94" i="4"/>
  <c r="P55" i="4"/>
  <c r="P56" i="4"/>
  <c r="H92" i="4"/>
  <c r="C94" i="4"/>
  <c r="F98" i="4"/>
  <c r="P53" i="4"/>
  <c r="P58" i="4"/>
  <c r="F94" i="4"/>
  <c r="C91" i="4"/>
  <c r="E94" i="4"/>
  <c r="H55" i="5"/>
  <c r="O67" i="5"/>
  <c r="O63" i="5"/>
  <c r="L73" i="5"/>
  <c r="L67" i="5"/>
  <c r="O43" i="5"/>
  <c r="V67" i="5"/>
  <c r="W43" i="5"/>
  <c r="S67" i="5"/>
  <c r="S55" i="5"/>
  <c r="D67" i="5"/>
  <c r="H79" i="5"/>
  <c r="U79" i="5"/>
  <c r="E67" i="5"/>
  <c r="G79" i="5"/>
  <c r="AA55" i="5"/>
  <c r="T79" i="5"/>
  <c r="AB79" i="5"/>
  <c r="W55" i="5"/>
  <c r="P79" i="5"/>
  <c r="U43" i="5"/>
  <c r="F55" i="5"/>
  <c r="AB67" i="5"/>
  <c r="U55" i="5"/>
  <c r="D55" i="5"/>
  <c r="X79" i="5"/>
  <c r="E79" i="5"/>
  <c r="J79" i="5"/>
  <c r="S79" i="5"/>
  <c r="H67" i="5"/>
  <c r="E55" i="5"/>
  <c r="I79" i="5"/>
  <c r="K72" i="5"/>
  <c r="P48" i="5"/>
  <c r="N67" i="5"/>
  <c r="E43" i="5"/>
  <c r="W79" i="5"/>
  <c r="AA67" i="5"/>
  <c r="M67" i="5"/>
  <c r="G55" i="5"/>
  <c r="K67" i="5"/>
  <c r="U67" i="5"/>
  <c r="R67" i="5"/>
  <c r="H43" i="5"/>
  <c r="AA43" i="5"/>
  <c r="AA79" i="5"/>
  <c r="W67" i="5"/>
  <c r="Q55" i="5"/>
  <c r="O79" i="5"/>
  <c r="S43" i="5"/>
  <c r="E54" i="5"/>
  <c r="I95" i="4"/>
  <c r="S63" i="5"/>
  <c r="I78" i="5"/>
  <c r="F93" i="4"/>
  <c r="E93" i="4"/>
  <c r="C93" i="4"/>
  <c r="I91" i="4"/>
  <c r="G96" i="4"/>
  <c r="H100" i="4"/>
  <c r="I99" i="4"/>
  <c r="I94" i="4"/>
  <c r="D3" i="7"/>
  <c r="D5" i="7"/>
  <c r="D8" i="7"/>
  <c r="G98" i="4"/>
  <c r="E98" i="4"/>
  <c r="F96" i="4"/>
  <c r="H93" i="4"/>
  <c r="G100" i="4"/>
  <c r="T78" i="5"/>
  <c r="D98" i="4"/>
  <c r="G93" i="4"/>
  <c r="D93" i="4"/>
  <c r="G90" i="4"/>
  <c r="D90" i="4"/>
  <c r="H98" i="4"/>
  <c r="I97" i="4"/>
  <c r="E96" i="4"/>
  <c r="E90" i="4"/>
  <c r="H96" i="4"/>
  <c r="E100" i="4"/>
  <c r="F100" i="4"/>
  <c r="C90" i="4"/>
  <c r="C100" i="4"/>
  <c r="J72" i="5"/>
  <c r="X66" i="5"/>
  <c r="K79" i="5"/>
  <c r="I54" i="5"/>
  <c r="O55" i="5"/>
  <c r="S75" i="5"/>
  <c r="AB42" i="5"/>
  <c r="S39" i="5"/>
  <c r="T66" i="5"/>
  <c r="E78" i="5"/>
  <c r="S65" i="5"/>
  <c r="F41" i="5"/>
  <c r="E41" i="5"/>
  <c r="T63" i="5"/>
  <c r="P53" i="5"/>
  <c r="N53" i="5"/>
  <c r="I53" i="5"/>
  <c r="D78" i="5"/>
  <c r="N66" i="5"/>
  <c r="W78" i="5"/>
  <c r="P51" i="5"/>
  <c r="R78" i="5"/>
  <c r="K54" i="5"/>
  <c r="AA66" i="5"/>
  <c r="T42" i="5"/>
  <c r="O65" i="5"/>
  <c r="Q50" i="5"/>
  <c r="N78" i="5"/>
  <c r="G43" i="5"/>
  <c r="W66" i="5"/>
  <c r="G67" i="5"/>
  <c r="D41" i="5"/>
  <c r="K39" i="5"/>
  <c r="AA39" i="5"/>
  <c r="U54" i="5"/>
  <c r="H66" i="5"/>
  <c r="V39" i="5"/>
  <c r="H78" i="5"/>
  <c r="Z78" i="5"/>
  <c r="N50" i="5"/>
  <c r="N43" i="5"/>
  <c r="F36" i="5"/>
  <c r="V36" i="5"/>
  <c r="L48" i="5"/>
  <c r="M62" i="5"/>
  <c r="Y67" i="5"/>
  <c r="T67" i="5"/>
  <c r="H42" i="5"/>
  <c r="T43" i="5"/>
  <c r="AB78" i="5"/>
  <c r="J54" i="5"/>
  <c r="G54" i="5"/>
  <c r="W42" i="5"/>
  <c r="K61" i="5"/>
  <c r="F43" i="5"/>
  <c r="L74" i="5"/>
  <c r="AB38" i="5"/>
  <c r="L52" i="5"/>
  <c r="Y39" i="5"/>
  <c r="K63" i="5"/>
  <c r="AA51" i="5"/>
  <c r="U66" i="5"/>
  <c r="Y54" i="5"/>
  <c r="O51" i="5"/>
  <c r="E66" i="5"/>
  <c r="V37" i="5"/>
  <c r="Y78" i="5"/>
  <c r="R42" i="5"/>
  <c r="M43" i="5"/>
  <c r="O37" i="5"/>
  <c r="Q73" i="5"/>
  <c r="L43" i="5"/>
  <c r="J61" i="5"/>
  <c r="U38" i="5"/>
  <c r="Y42" i="5"/>
  <c r="Q74" i="5"/>
  <c r="Y66" i="5"/>
  <c r="G66" i="5"/>
  <c r="AA63" i="5"/>
  <c r="I67" i="5"/>
  <c r="U78" i="5"/>
  <c r="G53" i="5"/>
  <c r="M65" i="5"/>
  <c r="V54" i="5"/>
  <c r="M50" i="5"/>
  <c r="K55" i="5"/>
  <c r="W54" i="5"/>
  <c r="F37" i="5"/>
  <c r="O38" i="5"/>
  <c r="W62" i="5"/>
  <c r="S49" i="5"/>
  <c r="Z50" i="5"/>
  <c r="F39" i="5"/>
  <c r="O41" i="5"/>
  <c r="X74" i="5"/>
  <c r="E38" i="5"/>
  <c r="U42" i="5"/>
  <c r="E42" i="5"/>
  <c r="O39" i="5"/>
  <c r="K43" i="5"/>
  <c r="K74" i="5"/>
  <c r="Z74" i="5"/>
  <c r="AB73" i="5"/>
  <c r="G78" i="5"/>
  <c r="H65" i="5"/>
  <c r="K60" i="5"/>
  <c r="V63" i="5"/>
  <c r="AA75" i="5"/>
  <c r="N79" i="5"/>
  <c r="V50" i="5"/>
  <c r="I41" i="5"/>
  <c r="Q43" i="5"/>
  <c r="J41" i="5"/>
  <c r="S41" i="5"/>
  <c r="R38" i="5"/>
  <c r="S64" i="5"/>
  <c r="AA38" i="5"/>
  <c r="K38" i="5"/>
  <c r="Q38" i="5"/>
  <c r="AA42" i="5"/>
  <c r="V42" i="5"/>
  <c r="AB43" i="5"/>
  <c r="P43" i="5"/>
  <c r="V74" i="5"/>
  <c r="M74" i="5"/>
  <c r="AA74" i="5"/>
  <c r="Y62" i="5"/>
  <c r="I62" i="5"/>
  <c r="S62" i="5"/>
  <c r="L66" i="5"/>
  <c r="G77" i="5"/>
  <c r="W77" i="5"/>
  <c r="Q67" i="5"/>
  <c r="AA53" i="5"/>
  <c r="L53" i="5"/>
  <c r="T54" i="5"/>
  <c r="E53" i="5"/>
  <c r="AA78" i="5"/>
  <c r="F78" i="5"/>
  <c r="I65" i="5"/>
  <c r="AA65" i="5"/>
  <c r="K65" i="5"/>
  <c r="S53" i="5"/>
  <c r="AA54" i="5"/>
  <c r="Y50" i="5"/>
  <c r="I50" i="5"/>
  <c r="R77" i="5"/>
  <c r="Q65" i="5"/>
  <c r="N39" i="5"/>
  <c r="N41" i="5"/>
  <c r="G41" i="5"/>
  <c r="W41" i="5"/>
  <c r="F38" i="5"/>
  <c r="D38" i="5"/>
  <c r="T38" i="5"/>
  <c r="W38" i="5"/>
  <c r="V38" i="5"/>
  <c r="M38" i="5"/>
  <c r="L42" i="5"/>
  <c r="T39" i="5"/>
  <c r="H41" i="5"/>
  <c r="J77" i="5"/>
  <c r="Y74" i="5"/>
  <c r="I74" i="5"/>
  <c r="S74" i="5"/>
  <c r="U62" i="5"/>
  <c r="E62" i="5"/>
  <c r="O62" i="5"/>
  <c r="K66" i="5"/>
  <c r="K77" i="5"/>
  <c r="AA77" i="5"/>
  <c r="P67" i="5"/>
  <c r="K50" i="5"/>
  <c r="W53" i="5"/>
  <c r="Q53" i="5"/>
  <c r="Z65" i="5"/>
  <c r="E65" i="5"/>
  <c r="W65" i="5"/>
  <c r="G65" i="5"/>
  <c r="F54" i="5"/>
  <c r="U50" i="5"/>
  <c r="E50" i="5"/>
  <c r="W74" i="5"/>
  <c r="F53" i="5"/>
  <c r="V77" i="5"/>
  <c r="Y65" i="5"/>
  <c r="T55" i="5"/>
  <c r="K51" i="5"/>
  <c r="L75" i="5"/>
  <c r="AB75" i="5"/>
  <c r="X53" i="5"/>
  <c r="O75" i="5"/>
  <c r="G51" i="5"/>
  <c r="G74" i="5"/>
  <c r="Y51" i="5"/>
  <c r="U65" i="5"/>
  <c r="P38" i="5"/>
  <c r="M41" i="5"/>
  <c r="Y41" i="5"/>
  <c r="Z41" i="5"/>
  <c r="K41" i="5"/>
  <c r="AA41" i="5"/>
  <c r="J38" i="5"/>
  <c r="H38" i="5"/>
  <c r="X38" i="5"/>
  <c r="S38" i="5"/>
  <c r="Y38" i="5"/>
  <c r="I38" i="5"/>
  <c r="K42" i="5"/>
  <c r="F42" i="5"/>
  <c r="P41" i="5"/>
  <c r="N77" i="5"/>
  <c r="U74" i="5"/>
  <c r="E74" i="5"/>
  <c r="O74" i="5"/>
  <c r="Q62" i="5"/>
  <c r="AA62" i="5"/>
  <c r="K62" i="5"/>
  <c r="O77" i="5"/>
  <c r="Y72" i="5"/>
  <c r="L78" i="5"/>
  <c r="K53" i="5"/>
  <c r="S50" i="5"/>
  <c r="M53" i="5"/>
  <c r="N65" i="5"/>
  <c r="V78" i="5"/>
  <c r="J65" i="5"/>
  <c r="P65" i="5"/>
  <c r="AA50" i="5"/>
  <c r="Z77" i="5"/>
  <c r="L51" i="5"/>
  <c r="X51" i="5"/>
  <c r="AB55" i="5"/>
  <c r="P55" i="5"/>
  <c r="P63" i="5"/>
  <c r="K75" i="5"/>
  <c r="R73" i="5"/>
  <c r="AB39" i="5"/>
  <c r="M52" i="5"/>
  <c r="R64" i="5"/>
  <c r="F52" i="5"/>
  <c r="I40" i="5"/>
  <c r="L39" i="5"/>
  <c r="G38" i="5"/>
  <c r="N42" i="5"/>
  <c r="D79" i="5"/>
  <c r="V76" i="5"/>
  <c r="Q41" i="5"/>
  <c r="P42" i="5"/>
  <c r="P39" i="5"/>
  <c r="D43" i="5"/>
  <c r="Q64" i="5"/>
  <c r="D49" i="5"/>
  <c r="S78" i="5"/>
  <c r="AA61" i="5"/>
  <c r="F65" i="5"/>
  <c r="X65" i="5"/>
  <c r="AB51" i="5"/>
  <c r="X55" i="5"/>
  <c r="M55" i="5"/>
  <c r="R66" i="5"/>
  <c r="M79" i="5"/>
  <c r="U76" i="5"/>
  <c r="G62" i="5"/>
  <c r="L63" i="5"/>
  <c r="U40" i="5"/>
  <c r="R43" i="5"/>
  <c r="K76" i="5"/>
  <c r="I39" i="5"/>
  <c r="Y40" i="5"/>
  <c r="U41" i="5"/>
  <c r="R40" i="5"/>
  <c r="V43" i="5"/>
  <c r="E40" i="5"/>
  <c r="T60" i="5"/>
  <c r="X43" i="5"/>
  <c r="X42" i="5"/>
  <c r="X41" i="5"/>
  <c r="AB63" i="5"/>
  <c r="X67" i="5"/>
  <c r="X49" i="5"/>
  <c r="S73" i="5"/>
  <c r="K48" i="5"/>
  <c r="U53" i="5"/>
  <c r="P78" i="5"/>
  <c r="Y60" i="5"/>
  <c r="T51" i="5"/>
  <c r="Y55" i="5"/>
  <c r="I55" i="5"/>
  <c r="D73" i="5"/>
  <c r="T37" i="5"/>
  <c r="Z38" i="5"/>
  <c r="N40" i="5"/>
  <c r="D65" i="5"/>
  <c r="T41" i="5"/>
  <c r="V75" i="5"/>
  <c r="M39" i="5"/>
  <c r="V41" i="5"/>
  <c r="D37" i="5"/>
  <c r="N38" i="5"/>
  <c r="F77" i="5"/>
  <c r="X63" i="5"/>
  <c r="Z54" i="5"/>
  <c r="Y53" i="5"/>
  <c r="Q48" i="5"/>
  <c r="J78" i="5"/>
  <c r="V65" i="5"/>
  <c r="T65" i="5"/>
  <c r="AA60" i="5"/>
  <c r="I51" i="5"/>
  <c r="E75" i="5"/>
  <c r="Y79" i="5"/>
  <c r="Q37" i="5"/>
  <c r="I43" i="5"/>
  <c r="Z39" i="5"/>
  <c r="S42" i="5"/>
  <c r="Z42" i="5"/>
  <c r="J42" i="5"/>
  <c r="X39" i="5"/>
  <c r="H74" i="5"/>
  <c r="I72" i="5"/>
  <c r="Y63" i="5"/>
  <c r="F76" i="5"/>
  <c r="H52" i="5"/>
  <c r="V53" i="5"/>
  <c r="S54" i="5"/>
  <c r="AB64" i="5"/>
  <c r="D53" i="5"/>
  <c r="Z48" i="5"/>
  <c r="X78" i="5"/>
  <c r="T61" i="5"/>
  <c r="I60" i="5"/>
  <c r="T49" i="5"/>
  <c r="D51" i="5"/>
  <c r="V55" i="5"/>
  <c r="Y75" i="5"/>
  <c r="W75" i="5"/>
  <c r="G75" i="5"/>
  <c r="Z63" i="5"/>
  <c r="D77" i="5"/>
  <c r="T72" i="5"/>
  <c r="AB76" i="5"/>
  <c r="AA76" i="5"/>
  <c r="V52" i="5"/>
  <c r="Z60" i="5"/>
  <c r="L64" i="5"/>
  <c r="J48" i="5"/>
  <c r="H76" i="5"/>
  <c r="AB50" i="5"/>
  <c r="F50" i="5"/>
  <c r="N55" i="5"/>
  <c r="R55" i="5"/>
  <c r="L41" i="5"/>
  <c r="AB53" i="5"/>
  <c r="U75" i="5"/>
  <c r="J63" i="5"/>
  <c r="D74" i="5"/>
  <c r="Q63" i="5"/>
  <c r="Y49" i="5"/>
  <c r="L37" i="5"/>
  <c r="Z73" i="5"/>
  <c r="R61" i="5"/>
  <c r="G49" i="5"/>
  <c r="O49" i="5"/>
  <c r="W49" i="5"/>
  <c r="L79" i="5"/>
  <c r="U37" i="5"/>
  <c r="Q39" i="5"/>
  <c r="J37" i="5"/>
  <c r="Z37" i="5"/>
  <c r="R39" i="5"/>
  <c r="R41" i="5"/>
  <c r="J43" i="5"/>
  <c r="Z43" i="5"/>
  <c r="S37" i="5"/>
  <c r="J36" i="5"/>
  <c r="N72" i="5"/>
  <c r="J60" i="5"/>
  <c r="W48" i="5"/>
  <c r="G48" i="5"/>
  <c r="R72" i="5"/>
  <c r="D72" i="5"/>
  <c r="O48" i="5"/>
  <c r="P37" i="5"/>
  <c r="V72" i="5"/>
  <c r="R79" i="5"/>
  <c r="T74" i="5"/>
  <c r="P62" i="5"/>
  <c r="Z72" i="5"/>
  <c r="U72" i="5"/>
  <c r="E72" i="5"/>
  <c r="P72" i="5"/>
  <c r="W72" i="5"/>
  <c r="G72" i="5"/>
  <c r="M63" i="5"/>
  <c r="H63" i="5"/>
  <c r="F73" i="5"/>
  <c r="W76" i="5"/>
  <c r="G76" i="5"/>
  <c r="R76" i="5"/>
  <c r="E76" i="5"/>
  <c r="X48" i="5"/>
  <c r="H50" i="5"/>
  <c r="P52" i="5"/>
  <c r="R52" i="5"/>
  <c r="Y52" i="5"/>
  <c r="I52" i="5"/>
  <c r="Z64" i="5"/>
  <c r="N73" i="5"/>
  <c r="M73" i="5"/>
  <c r="X73" i="5"/>
  <c r="H73" i="5"/>
  <c r="O73" i="5"/>
  <c r="N64" i="5"/>
  <c r="M64" i="5"/>
  <c r="X64" i="5"/>
  <c r="H64" i="5"/>
  <c r="O64" i="5"/>
  <c r="S48" i="5"/>
  <c r="AA49" i="5"/>
  <c r="S52" i="5"/>
  <c r="R53" i="5"/>
  <c r="N49" i="5"/>
  <c r="U49" i="5"/>
  <c r="E49" i="5"/>
  <c r="V48" i="5"/>
  <c r="F48" i="5"/>
  <c r="M48" i="5"/>
  <c r="F60" i="5"/>
  <c r="P76" i="5"/>
  <c r="D61" i="5"/>
  <c r="U61" i="5"/>
  <c r="E61" i="5"/>
  <c r="P61" i="5"/>
  <c r="W61" i="5"/>
  <c r="G61" i="5"/>
  <c r="AB65" i="5"/>
  <c r="L65" i="5"/>
  <c r="R60" i="5"/>
  <c r="U60" i="5"/>
  <c r="E60" i="5"/>
  <c r="P60" i="5"/>
  <c r="W60" i="5"/>
  <c r="G60" i="5"/>
  <c r="AB49" i="5"/>
  <c r="P54" i="5"/>
  <c r="D50" i="5"/>
  <c r="R50" i="5"/>
  <c r="V73" i="5"/>
  <c r="H51" i="5"/>
  <c r="N51" i="5"/>
  <c r="U51" i="5"/>
  <c r="E51" i="5"/>
  <c r="L55" i="5"/>
  <c r="L77" i="5"/>
  <c r="T77" i="5"/>
  <c r="AB77" i="5"/>
  <c r="E77" i="5"/>
  <c r="M77" i="5"/>
  <c r="U77" i="5"/>
  <c r="H77" i="5"/>
  <c r="P77" i="5"/>
  <c r="X77" i="5"/>
  <c r="R65" i="5"/>
  <c r="T53" i="5"/>
  <c r="I77" i="5"/>
  <c r="Z53" i="5"/>
  <c r="Q77" i="5"/>
  <c r="J53" i="5"/>
  <c r="Y77" i="5"/>
  <c r="O53" i="5"/>
  <c r="R75" i="5"/>
  <c r="Q75" i="5"/>
  <c r="D75" i="5"/>
  <c r="Z55" i="5"/>
  <c r="R63" i="5"/>
  <c r="T62" i="5"/>
  <c r="I49" i="5"/>
  <c r="I37" i="5"/>
  <c r="G37" i="5"/>
  <c r="W37" i="5"/>
  <c r="F40" i="5"/>
  <c r="Y76" i="5"/>
  <c r="W52" i="5"/>
  <c r="AB52" i="5"/>
  <c r="I76" i="5"/>
  <c r="G52" i="5"/>
  <c r="J64" i="5"/>
  <c r="Q76" i="5"/>
  <c r="O52" i="5"/>
  <c r="X37" i="5"/>
  <c r="L38" i="5"/>
  <c r="N62" i="5"/>
  <c r="F67" i="5"/>
  <c r="F74" i="5"/>
  <c r="F79" i="5"/>
  <c r="V79" i="5"/>
  <c r="P74" i="5"/>
  <c r="AB62" i="5"/>
  <c r="L62" i="5"/>
  <c r="J67" i="5"/>
  <c r="D62" i="5"/>
  <c r="Q72" i="5"/>
  <c r="AB72" i="5"/>
  <c r="L72" i="5"/>
  <c r="S72" i="5"/>
  <c r="I63" i="5"/>
  <c r="V60" i="5"/>
  <c r="L76" i="5"/>
  <c r="S76" i="5"/>
  <c r="D76" i="5"/>
  <c r="N76" i="5"/>
  <c r="H49" i="5"/>
  <c r="P50" i="5"/>
  <c r="X52" i="5"/>
  <c r="D52" i="5"/>
  <c r="N52" i="5"/>
  <c r="U52" i="5"/>
  <c r="E52" i="5"/>
  <c r="Y73" i="5"/>
  <c r="I73" i="5"/>
  <c r="T73" i="5"/>
  <c r="AA73" i="5"/>
  <c r="K73" i="5"/>
  <c r="D64" i="5"/>
  <c r="Y64" i="5"/>
  <c r="I64" i="5"/>
  <c r="T64" i="5"/>
  <c r="AA64" i="5"/>
  <c r="K64" i="5"/>
  <c r="AA48" i="5"/>
  <c r="Z52" i="5"/>
  <c r="Z49" i="5"/>
  <c r="J49" i="5"/>
  <c r="Q49" i="5"/>
  <c r="R48" i="5"/>
  <c r="Y48" i="5"/>
  <c r="I48" i="5"/>
  <c r="N61" i="5"/>
  <c r="X76" i="5"/>
  <c r="J74" i="5"/>
  <c r="V61" i="5"/>
  <c r="Q61" i="5"/>
  <c r="AB61" i="5"/>
  <c r="L61" i="5"/>
  <c r="S61" i="5"/>
  <c r="D60" i="5"/>
  <c r="Q60" i="5"/>
  <c r="AB60" i="5"/>
  <c r="L60" i="5"/>
  <c r="S60" i="5"/>
  <c r="T48" i="5"/>
  <c r="L50" i="5"/>
  <c r="T52" i="5"/>
  <c r="M76" i="5"/>
  <c r="Z51" i="5"/>
  <c r="J51" i="5"/>
  <c r="F75" i="5"/>
  <c r="N75" i="5"/>
  <c r="M75" i="5"/>
  <c r="H75" i="5"/>
  <c r="L49" i="5"/>
  <c r="J55" i="5"/>
  <c r="R54" i="5"/>
  <c r="D63" i="5"/>
  <c r="F72" i="5"/>
  <c r="J75" i="5"/>
  <c r="P75" i="5"/>
  <c r="Y37" i="5"/>
  <c r="N37" i="5"/>
  <c r="M37" i="5"/>
  <c r="R37" i="5"/>
  <c r="K37" i="5"/>
  <c r="AA37" i="5"/>
  <c r="E37" i="5"/>
  <c r="AB41" i="5"/>
  <c r="H37" i="5"/>
  <c r="AB37" i="5"/>
  <c r="F63" i="5"/>
  <c r="Z79" i="5"/>
  <c r="AB74" i="5"/>
  <c r="X62" i="5"/>
  <c r="H62" i="5"/>
  <c r="M72" i="5"/>
  <c r="X72" i="5"/>
  <c r="H72" i="5"/>
  <c r="O72" i="5"/>
  <c r="U63" i="5"/>
  <c r="E63" i="5"/>
  <c r="V64" i="5"/>
  <c r="T76" i="5"/>
  <c r="O76" i="5"/>
  <c r="Z76" i="5"/>
  <c r="J76" i="5"/>
  <c r="H48" i="5"/>
  <c r="P49" i="5"/>
  <c r="X50" i="5"/>
  <c r="J52" i="5"/>
  <c r="Q52" i="5"/>
  <c r="J73" i="5"/>
  <c r="U73" i="5"/>
  <c r="E73" i="5"/>
  <c r="P73" i="5"/>
  <c r="W73" i="5"/>
  <c r="G73" i="5"/>
  <c r="D48" i="5"/>
  <c r="U64" i="5"/>
  <c r="E64" i="5"/>
  <c r="P64" i="5"/>
  <c r="W64" i="5"/>
  <c r="G64" i="5"/>
  <c r="K49" i="5"/>
  <c r="V49" i="5"/>
  <c r="F49" i="5"/>
  <c r="M49" i="5"/>
  <c r="N48" i="5"/>
  <c r="U48" i="5"/>
  <c r="E48" i="5"/>
  <c r="Z61" i="5"/>
  <c r="F61" i="5"/>
  <c r="M61" i="5"/>
  <c r="X61" i="5"/>
  <c r="H61" i="5"/>
  <c r="O61" i="5"/>
  <c r="N60" i="5"/>
  <c r="M60" i="5"/>
  <c r="X60" i="5"/>
  <c r="H60" i="5"/>
  <c r="O60" i="5"/>
  <c r="AB48" i="5"/>
  <c r="T50" i="5"/>
  <c r="AA52" i="5"/>
  <c r="J50" i="5"/>
  <c r="F64" i="5"/>
  <c r="F62" i="5"/>
  <c r="N74" i="5"/>
  <c r="J62" i="5"/>
  <c r="R74" i="5"/>
  <c r="V62" i="5"/>
  <c r="G50" i="5"/>
  <c r="O50" i="5"/>
  <c r="Z62" i="5"/>
  <c r="W50" i="5"/>
  <c r="R62" i="5"/>
  <c r="K52" i="5"/>
  <c r="H53" i="5"/>
  <c r="U36" i="5"/>
  <c r="M40" i="5"/>
  <c r="D40" i="5"/>
  <c r="G36" i="5"/>
  <c r="K36" i="5"/>
  <c r="O36" i="5"/>
  <c r="S36" i="5"/>
  <c r="W36" i="5"/>
  <c r="AA36" i="5"/>
  <c r="H36" i="5"/>
  <c r="X36" i="5"/>
  <c r="L36" i="5"/>
  <c r="AB36" i="5"/>
  <c r="P36" i="5"/>
  <c r="T36" i="5"/>
  <c r="Z36" i="5"/>
  <c r="G40" i="5"/>
  <c r="K40" i="5"/>
  <c r="O40" i="5"/>
  <c r="S40" i="5"/>
  <c r="W40" i="5"/>
  <c r="AA40" i="5"/>
  <c r="H40" i="5"/>
  <c r="X40" i="5"/>
  <c r="L40" i="5"/>
  <c r="AB40" i="5"/>
  <c r="P40" i="5"/>
  <c r="T40" i="5"/>
  <c r="I36" i="5"/>
  <c r="Y36" i="5"/>
  <c r="N36" i="5"/>
  <c r="V40" i="5"/>
  <c r="E36" i="5"/>
  <c r="M36" i="5"/>
  <c r="Q40" i="5"/>
  <c r="D36" i="5"/>
  <c r="R36" i="5"/>
  <c r="J40" i="5"/>
  <c r="Z40" i="5"/>
  <c r="I100" i="4"/>
  <c r="I96" i="4"/>
  <c r="D17" i="7"/>
  <c r="I98" i="4"/>
  <c r="I93" i="4"/>
  <c r="I90" i="4"/>
  <c r="Y81" i="5"/>
  <c r="E45" i="5"/>
  <c r="AA81" i="5"/>
  <c r="K81" i="5"/>
  <c r="U45" i="5"/>
  <c r="N57" i="5"/>
  <c r="K57" i="5"/>
  <c r="J81" i="5"/>
  <c r="M81" i="5"/>
  <c r="Z57" i="5"/>
  <c r="Q69" i="5"/>
  <c r="AB81" i="5"/>
  <c r="Q45" i="5"/>
  <c r="Y45" i="5"/>
  <c r="V45" i="5"/>
  <c r="M69" i="5"/>
  <c r="E57" i="5"/>
  <c r="L57" i="5"/>
  <c r="I57" i="5"/>
  <c r="K69" i="5"/>
  <c r="F45" i="5"/>
  <c r="P81" i="5"/>
  <c r="J45" i="5"/>
  <c r="X69" i="5"/>
  <c r="O81" i="5"/>
  <c r="S69" i="5"/>
  <c r="D69" i="5"/>
  <c r="Q81" i="5"/>
  <c r="E81" i="5"/>
  <c r="T69" i="5"/>
  <c r="H81" i="5"/>
  <c r="F81" i="5"/>
  <c r="S81" i="5"/>
  <c r="G81" i="5"/>
  <c r="U81" i="5"/>
  <c r="D81" i="5"/>
  <c r="Y69" i="5"/>
  <c r="Z45" i="5"/>
  <c r="O69" i="5"/>
  <c r="X81" i="5"/>
  <c r="Y57" i="5"/>
  <c r="L81" i="5"/>
  <c r="W81" i="5"/>
  <c r="Z81" i="5"/>
  <c r="V81" i="5"/>
  <c r="R81" i="5"/>
  <c r="N81" i="5"/>
  <c r="T81" i="5"/>
  <c r="I81" i="5"/>
  <c r="Q57" i="5"/>
  <c r="AA57" i="5"/>
  <c r="W69" i="5"/>
  <c r="R69" i="5"/>
  <c r="S57" i="5"/>
  <c r="V69" i="5"/>
  <c r="U69" i="5"/>
  <c r="M57" i="5"/>
  <c r="Z69" i="5"/>
  <c r="L45" i="5"/>
  <c r="G45" i="5"/>
  <c r="D57" i="5"/>
  <c r="N69" i="5"/>
  <c r="L69" i="5"/>
  <c r="J57" i="5"/>
  <c r="P69" i="5"/>
  <c r="J69" i="5"/>
  <c r="I69" i="5"/>
  <c r="AA69" i="5"/>
  <c r="G69" i="5"/>
  <c r="D45" i="5"/>
  <c r="W45" i="5"/>
  <c r="AB57" i="5"/>
  <c r="M45" i="5"/>
  <c r="H69" i="5"/>
  <c r="P57" i="5"/>
  <c r="AB69" i="5"/>
  <c r="E69" i="5"/>
  <c r="F69" i="5"/>
  <c r="N45" i="5"/>
  <c r="O3" i="7"/>
  <c r="O5" i="7"/>
  <c r="O8" i="7"/>
  <c r="X45" i="5"/>
  <c r="U57" i="5"/>
  <c r="F57" i="5"/>
  <c r="O57" i="5"/>
  <c r="W57" i="5"/>
  <c r="G57" i="5"/>
  <c r="T45" i="5"/>
  <c r="O45" i="5"/>
  <c r="V57" i="5"/>
  <c r="X57" i="5"/>
  <c r="S45" i="5"/>
  <c r="T3" i="7"/>
  <c r="T5" i="7"/>
  <c r="T8" i="7"/>
  <c r="P45" i="5"/>
  <c r="Q3" i="7"/>
  <c r="Q5" i="7"/>
  <c r="Q8" i="7"/>
  <c r="H45" i="5"/>
  <c r="R45" i="5"/>
  <c r="I45" i="5"/>
  <c r="AB45" i="5"/>
  <c r="AA45" i="5"/>
  <c r="K45" i="5"/>
  <c r="H57" i="5"/>
  <c r="T57" i="5"/>
  <c r="R57" i="5"/>
  <c r="N3" i="7"/>
  <c r="N5" i="7"/>
  <c r="N8" i="7"/>
  <c r="N14" i="7"/>
  <c r="M3" i="7"/>
  <c r="M5" i="7"/>
  <c r="M8" i="7"/>
  <c r="M17" i="7"/>
  <c r="F3" i="7"/>
  <c r="F5" i="7"/>
  <c r="F8" i="7"/>
  <c r="F14" i="7"/>
  <c r="D14" i="7"/>
  <c r="D21" i="7"/>
  <c r="D23" i="7"/>
  <c r="D25" i="7"/>
  <c r="D26" i="7"/>
  <c r="AC3" i="7"/>
  <c r="AC5" i="7"/>
  <c r="AC8" i="7"/>
  <c r="X3" i="7"/>
  <c r="X5" i="7"/>
  <c r="X8" i="7"/>
  <c r="K3" i="7"/>
  <c r="K5" i="7"/>
  <c r="K8" i="7"/>
  <c r="Z3" i="7"/>
  <c r="Z5" i="7"/>
  <c r="Z8" i="7"/>
  <c r="P3" i="7"/>
  <c r="P5" i="7"/>
  <c r="P8" i="7"/>
  <c r="J3" i="7"/>
  <c r="J5" i="7"/>
  <c r="J8" i="7"/>
  <c r="U3" i="7"/>
  <c r="U5" i="7"/>
  <c r="U8" i="7"/>
  <c r="E3" i="7"/>
  <c r="E5" i="7"/>
  <c r="E8" i="7"/>
  <c r="AA3" i="7"/>
  <c r="AA5" i="7"/>
  <c r="AA8" i="7"/>
  <c r="L3" i="7"/>
  <c r="L5" i="7"/>
  <c r="L8" i="7"/>
  <c r="G3" i="7"/>
  <c r="G5" i="7"/>
  <c r="G8" i="7"/>
  <c r="R3" i="7"/>
  <c r="R5" i="7"/>
  <c r="R8" i="7"/>
  <c r="V3" i="7"/>
  <c r="V5" i="7"/>
  <c r="V8" i="7"/>
  <c r="W3" i="7"/>
  <c r="W5" i="7"/>
  <c r="W8" i="7"/>
  <c r="S3" i="7"/>
  <c r="S5" i="7"/>
  <c r="S8" i="7"/>
  <c r="AB3" i="7"/>
  <c r="AB5" i="7"/>
  <c r="AB8" i="7"/>
  <c r="I3" i="7"/>
  <c r="I5" i="7"/>
  <c r="I8" i="7"/>
  <c r="Y3" i="7"/>
  <c r="Y5" i="7"/>
  <c r="Y8" i="7"/>
  <c r="H3" i="7"/>
  <c r="H5" i="7"/>
  <c r="H8" i="7"/>
  <c r="M14" i="7"/>
  <c r="T17" i="7"/>
  <c r="T14" i="7"/>
  <c r="N17" i="7"/>
  <c r="Q14" i="7"/>
  <c r="Q17" i="7"/>
  <c r="O14" i="7"/>
  <c r="O17" i="7"/>
  <c r="F17" i="7"/>
  <c r="F21" i="7"/>
  <c r="U17" i="7"/>
  <c r="P14" i="7"/>
  <c r="S14" i="7"/>
  <c r="V14" i="7"/>
  <c r="G14" i="7"/>
  <c r="Y14" i="7"/>
  <c r="L17" i="7"/>
  <c r="X17" i="7"/>
  <c r="W17" i="7"/>
  <c r="R17" i="7"/>
  <c r="Z14" i="7"/>
  <c r="H17" i="7"/>
  <c r="K14" i="7"/>
  <c r="I14" i="7"/>
  <c r="AA17" i="7"/>
  <c r="AC17" i="7"/>
  <c r="J17" i="7"/>
  <c r="AB14" i="7"/>
  <c r="E17" i="7"/>
  <c r="T21" i="7"/>
  <c r="Q21" i="7"/>
  <c r="M21" i="7"/>
  <c r="N21" i="7"/>
  <c r="O21" i="7"/>
  <c r="S17" i="7"/>
  <c r="S21" i="7"/>
  <c r="S23" i="7"/>
  <c r="S25" i="7"/>
  <c r="W14" i="7"/>
  <c r="W21" i="7"/>
  <c r="W23" i="7"/>
  <c r="W25" i="7"/>
  <c r="U14" i="7"/>
  <c r="U21" i="7"/>
  <c r="U23" i="7"/>
  <c r="U25" i="7"/>
  <c r="J14" i="7"/>
  <c r="J21" i="7"/>
  <c r="J23" i="7"/>
  <c r="J25" i="7"/>
  <c r="L14" i="7"/>
  <c r="L21" i="7"/>
  <c r="L23" i="7"/>
  <c r="L25" i="7"/>
  <c r="I17" i="7"/>
  <c r="I21" i="7"/>
  <c r="I23" i="7"/>
  <c r="I25" i="7"/>
  <c r="E14" i="7"/>
  <c r="E21" i="7"/>
  <c r="E23" i="7"/>
  <c r="E25" i="7"/>
  <c r="E26" i="7"/>
  <c r="Z17" i="7"/>
  <c r="Z21" i="7"/>
  <c r="Z23" i="7"/>
  <c r="Z25" i="7"/>
  <c r="AB17" i="7"/>
  <c r="AB21" i="7"/>
  <c r="AB23" i="7"/>
  <c r="AB25" i="7"/>
  <c r="G17" i="7"/>
  <c r="G21" i="7"/>
  <c r="G23" i="7"/>
  <c r="G25" i="7"/>
  <c r="AA14" i="7"/>
  <c r="AA21" i="7"/>
  <c r="AA23" i="7"/>
  <c r="AA25" i="7"/>
  <c r="P17" i="7"/>
  <c r="P21" i="7"/>
  <c r="P23" i="7"/>
  <c r="P25" i="7"/>
  <c r="AC14" i="7"/>
  <c r="AC21" i="7"/>
  <c r="AC23" i="7"/>
  <c r="AC25" i="7"/>
  <c r="X14" i="7"/>
  <c r="X21" i="7"/>
  <c r="X23" i="7"/>
  <c r="X25" i="7"/>
  <c r="V17" i="7"/>
  <c r="V21" i="7"/>
  <c r="V23" i="7"/>
  <c r="V25" i="7"/>
  <c r="H14" i="7"/>
  <c r="R14" i="7"/>
  <c r="R21" i="7"/>
  <c r="R23" i="7"/>
  <c r="R25" i="7"/>
  <c r="Y17" i="7"/>
  <c r="Y21" i="7"/>
  <c r="Y23" i="7"/>
  <c r="Y25" i="7"/>
  <c r="K17" i="7"/>
  <c r="K21" i="7"/>
  <c r="K23" i="7"/>
  <c r="K25" i="7"/>
  <c r="F23" i="7"/>
  <c r="F25" i="7"/>
  <c r="N23" i="7"/>
  <c r="N25" i="7"/>
  <c r="M23" i="7"/>
  <c r="M25" i="7"/>
  <c r="Q23" i="7"/>
  <c r="Q25" i="7"/>
  <c r="T23" i="7"/>
  <c r="T25" i="7"/>
  <c r="O23" i="7"/>
  <c r="O25" i="7"/>
  <c r="O19" i="6"/>
  <c r="F26" i="7"/>
  <c r="G26" i="7"/>
  <c r="H21" i="7"/>
  <c r="H23" i="7"/>
  <c r="H25" i="7"/>
  <c r="L21" i="6"/>
  <c r="L22" i="6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C30" i="7"/>
  <c r="L19" i="6"/>
  <c r="C32" i="7"/>
  <c r="L20" i="6"/>
  <c r="Y26" i="7"/>
  <c r="Z26" i="7"/>
  <c r="AA26" i="7"/>
  <c r="AB26" i="7"/>
  <c r="AC26" i="7"/>
  <c r="O20" i="6"/>
</calcChain>
</file>

<file path=xl/sharedStrings.xml><?xml version="1.0" encoding="utf-8"?>
<sst xmlns="http://schemas.openxmlformats.org/spreadsheetml/2006/main" count="670" uniqueCount="189">
  <si>
    <t>Population by age and sex (thousands)</t>
  </si>
  <si>
    <t>ISO 3166-1 numeric code</t>
  </si>
  <si>
    <t>Location</t>
  </si>
  <si>
    <t>Sex</t>
  </si>
  <si>
    <t>Age</t>
  </si>
  <si>
    <t>World</t>
  </si>
  <si>
    <t/>
  </si>
  <si>
    <t xml:space="preserve">   Asia</t>
  </si>
  <si>
    <t xml:space="preserve">      Eastern Asia</t>
  </si>
  <si>
    <t xml:space="preserve">         Japan</t>
  </si>
  <si>
    <t>Both sexes combined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</si>
  <si>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</si>
  <si>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</si>
  <si>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</si>
  <si>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</si>
  <si>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</si>
  <si>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</si>
  <si>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</si>
  <si>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</si>
  <si>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</si>
  <si>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</si>
  <si>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</si>
  <si>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</si>
  <si>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</si>
  <si>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</si>
  <si>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</si>
  <si>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</si>
  <si>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</si>
  <si>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</si>
  <si>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</si>
  <si>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</si>
  <si>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</si>
  <si>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Female</t>
  </si>
  <si>
    <t>Male</t>
  </si>
  <si>
    <t>18-29</t>
  </si>
  <si>
    <t>30-39</t>
  </si>
  <si>
    <t>40-49</t>
  </si>
  <si>
    <t>50-59</t>
  </si>
  <si>
    <t>60-69</t>
  </si>
  <si>
    <t>70-79</t>
  </si>
  <si>
    <t>80-89</t>
  </si>
  <si>
    <t>90-99</t>
  </si>
  <si>
    <t>100-</t>
  </si>
  <si>
    <t>76.5 ± 12.6</t>
  </si>
  <si>
    <t>62.1 ± 16.2</t>
  </si>
  <si>
    <t>66.7 ± 12.9</t>
  </si>
  <si>
    <t>80.1 ± 11.1</t>
  </si>
  <si>
    <t>77.8 ± 10.2</t>
  </si>
  <si>
    <t>69.6 ± 17.7</t>
  </si>
  <si>
    <t>76.8 ± 15.4</t>
  </si>
  <si>
    <t>65.9 ± 13.9</t>
  </si>
  <si>
    <t>75.2 ± 14.6</t>
  </si>
  <si>
    <t>75.3 ± 11.5</t>
  </si>
  <si>
    <t>Others (%)</t>
  </si>
  <si>
    <t>67.1 ± 18.5</t>
  </si>
  <si>
    <t>Total (%)</t>
  </si>
  <si>
    <t>71.3 ± 15.8</t>
  </si>
  <si>
    <t>Mean age is given as mean ± standard deviation</t>
  </si>
  <si>
    <t>Grade 1</t>
  </si>
  <si>
    <t>Grade 2</t>
  </si>
  <si>
    <t>Grade 3</t>
  </si>
  <si>
    <t>Grade 4</t>
  </si>
  <si>
    <t>Grade 5</t>
  </si>
  <si>
    <t>Grade 6</t>
  </si>
  <si>
    <t>Extracted figures</t>
  </si>
  <si>
    <t>Worksheet</t>
  </si>
  <si>
    <t>Dataset 1: # of patients on Age vs Cause</t>
  </si>
  <si>
    <t>Dataset 2: # of patients on Grade vs Cause</t>
  </si>
  <si>
    <t>Total</t>
  </si>
  <si>
    <t>Age (y.o.)</t>
  </si>
  <si>
    <t>Dataset 3: total % on Grade vs Cause</t>
  </si>
  <si>
    <t>Dataset 4: Cause % on Grade</t>
  </si>
  <si>
    <t>Dataset 5: data rearrange</t>
  </si>
  <si>
    <t>0. Population rearrange</t>
  </si>
  <si>
    <t>Year</t>
  </si>
  <si>
    <t>1. Indication</t>
  </si>
  <si>
    <t>2. Schedule</t>
  </si>
  <si>
    <t>Bass model: experience cumulation curve model</t>
  </si>
  <si>
    <t>Period</t>
    <phoneticPr fontId="0"/>
  </si>
  <si>
    <t>N(t)=</t>
  </si>
  <si>
    <t>innovation</t>
    <phoneticPr fontId="0"/>
  </si>
  <si>
    <t>imitation</t>
    <phoneticPr fontId="0"/>
  </si>
  <si>
    <t>m</t>
  </si>
  <si>
    <t>B. Generic penetration</t>
    <phoneticPr fontId="5"/>
  </si>
  <si>
    <t>Quarter</t>
  </si>
  <si>
    <t>LoE</t>
  </si>
  <si>
    <t>3. Commercial Assumptions</t>
  </si>
  <si>
    <t>Peak penetration</t>
  </si>
  <si>
    <t xml:space="preserve">Any product launch </t>
  </si>
  <si>
    <t>Loss of share after LoE</t>
  </si>
  <si>
    <t>uptake</t>
  </si>
  <si>
    <t>generic erosion</t>
  </si>
  <si>
    <t>Initial price (thousand JPY)</t>
  </si>
  <si>
    <t>Price cut at LoE</t>
  </si>
  <si>
    <t>Annual price cuts (post LoE)</t>
  </si>
  <si>
    <t>Annual price cuts (on exclusivity)</t>
  </si>
  <si>
    <t>A. Sales forecast</t>
  </si>
  <si>
    <t>CoGs</t>
  </si>
  <si>
    <t>4. Price Assumptions</t>
  </si>
  <si>
    <t>5. Cost Assumptions</t>
  </si>
  <si>
    <t>CoGs (thousand JPY/regimen)</t>
  </si>
  <si>
    <t>Years relative to launch</t>
    <phoneticPr fontId="5"/>
  </si>
  <si>
    <t>Sales and Marketing</t>
    <phoneticPr fontId="5"/>
  </si>
  <si>
    <t>General &amp; Admin</t>
    <phoneticPr fontId="5"/>
  </si>
  <si>
    <t>Medical</t>
    <phoneticPr fontId="5"/>
  </si>
  <si>
    <t>Distribution</t>
    <phoneticPr fontId="5"/>
  </si>
  <si>
    <t>Labor</t>
    <phoneticPr fontId="5"/>
  </si>
  <si>
    <t>Non-labor</t>
    <phoneticPr fontId="5"/>
  </si>
  <si>
    <t>Total labor cost</t>
    <phoneticPr fontId="5"/>
  </si>
  <si>
    <t>General &amp; Admin</t>
    <phoneticPr fontId="5"/>
  </si>
  <si>
    <t>Medical (incl, medical scientific liasons)</t>
    <phoneticPr fontId="5"/>
  </si>
  <si>
    <t>Headcounts</t>
    <phoneticPr fontId="5"/>
  </si>
  <si>
    <t>Director level</t>
    <phoneticPr fontId="5"/>
  </si>
  <si>
    <t>Manager level</t>
    <phoneticPr fontId="5"/>
  </si>
  <si>
    <t>Non-title level</t>
    <phoneticPr fontId="5"/>
  </si>
  <si>
    <t>Cost per Headcount</t>
    <phoneticPr fontId="5"/>
  </si>
  <si>
    <t>Salary YoY growth assumption</t>
    <phoneticPr fontId="5"/>
  </si>
  <si>
    <t>Total non-labor costs</t>
    <phoneticPr fontId="5"/>
  </si>
  <si>
    <t>Selling and marketing cost</t>
    <phoneticPr fontId="5"/>
  </si>
  <si>
    <t>Headcount associated (welfare, equipments, commissions, travel and entertainment etc.)</t>
    <phoneticPr fontId="5"/>
  </si>
  <si>
    <t>Cost per headcount</t>
    <phoneticPr fontId="5"/>
  </si>
  <si>
    <t>Headcount unassociated (advertisement, promotional materials, events, marketing research, training etc.)</t>
    <phoneticPr fontId="5"/>
  </si>
  <si>
    <t>Headcount associated (welfare, equipments, travel and entertainment etc.)</t>
    <phoneticPr fontId="5"/>
  </si>
  <si>
    <t>Headcount unassociated (rent, communication cost, etc.)</t>
    <phoneticPr fontId="5"/>
  </si>
  <si>
    <t>Headcount unassociated (IIS, publication, etc.)</t>
    <phoneticPr fontId="5"/>
  </si>
  <si>
    <t>Headcount unassociated (warehouse cost, etc.)</t>
    <phoneticPr fontId="5"/>
  </si>
  <si>
    <t>Total SG&amp;A cost (JPY million)</t>
  </si>
  <si>
    <t>Sales and Marketing</t>
  </si>
  <si>
    <t>Labor (JPY thousands)</t>
  </si>
  <si>
    <t>Non-labor (JPY thousands)</t>
  </si>
  <si>
    <t>R&amp;D</t>
  </si>
  <si>
    <t>Registrational trials</t>
  </si>
  <si>
    <t>Regulatory fee</t>
  </si>
  <si>
    <t>Post marketing obligations</t>
  </si>
  <si>
    <t>Total R&amp;D cost (JPY million)</t>
  </si>
  <si>
    <t>SG&amp;A</t>
  </si>
  <si>
    <t>6. Discount rate</t>
  </si>
  <si>
    <t>B. Cost assumptions (JPY million)</t>
  </si>
  <si>
    <t>C. EBIT</t>
    <phoneticPr fontId="5"/>
  </si>
  <si>
    <t>Corporate Tax</t>
    <phoneticPr fontId="5"/>
  </si>
  <si>
    <t>Effective corporate tax</t>
    <phoneticPr fontId="5"/>
  </si>
  <si>
    <t>D. Net income</t>
    <phoneticPr fontId="5"/>
  </si>
  <si>
    <t>IRR</t>
    <phoneticPr fontId="5"/>
  </si>
  <si>
    <t>E. Discount rate</t>
    <phoneticPr fontId="5"/>
  </si>
  <si>
    <t>G. IRR</t>
    <phoneticPr fontId="5"/>
  </si>
  <si>
    <t>Key financials</t>
    <phoneticPr fontId="5"/>
  </si>
  <si>
    <t>NPV (JPY MM)</t>
    <phoneticPr fontId="5"/>
  </si>
  <si>
    <t>Peak sales (JPY MM)</t>
    <phoneticPr fontId="5"/>
  </si>
  <si>
    <t>Breakeven</t>
    <phoneticPr fontId="5"/>
  </si>
  <si>
    <t>F. Net present value (2019-40, JPY million)</t>
    <phoneticPr fontId="5"/>
  </si>
  <si>
    <t>Recovery</t>
    <phoneticPr fontId="5"/>
  </si>
  <si>
    <t>Control Panel</t>
    <phoneticPr fontId="5"/>
  </si>
  <si>
    <t>updated: XX XX, 2019</t>
    <phoneticPr fontId="5"/>
  </si>
  <si>
    <t>Product X launch</t>
  </si>
  <si>
    <t>Product X peak market share</t>
  </si>
  <si>
    <t>Product X EBIT</t>
  </si>
  <si>
    <t>Product X NI</t>
  </si>
  <si>
    <t>Product X Cumulative</t>
  </si>
  <si>
    <t>Product X patients</t>
  </si>
  <si>
    <t>Product X NHI price (JPY '000)</t>
  </si>
  <si>
    <t>Product X NHI sales</t>
  </si>
  <si>
    <t>Disease A</t>
  </si>
  <si>
    <t>A. Disease A</t>
  </si>
  <si>
    <t>Disease A (%)</t>
  </si>
  <si>
    <t>B. Disease B</t>
  </si>
  <si>
    <t>Disease B (%)</t>
  </si>
  <si>
    <t>Disease B</t>
  </si>
  <si>
    <t>Disease B (w/ A)</t>
    <phoneticPr fontId="5"/>
  </si>
  <si>
    <t>Disease B (w/o A)</t>
    <phoneticPr fontId="5"/>
  </si>
  <si>
    <t>Disease C</t>
  </si>
  <si>
    <t>C. Disease C</t>
  </si>
  <si>
    <t>Disease C (%)</t>
  </si>
  <si>
    <t>Disease D</t>
  </si>
  <si>
    <t>D. Disease D</t>
  </si>
  <si>
    <t>Disease D (%)</t>
  </si>
  <si>
    <t>Disease incidence</t>
    <phoneticPr fontId="5"/>
  </si>
  <si>
    <t>New Product penetration</t>
    <phoneticPr fontId="5"/>
  </si>
  <si>
    <t>Disease a (%)</t>
  </si>
  <si>
    <t>Disease b (%)</t>
  </si>
  <si>
    <t>Disease c (%)</t>
  </si>
  <si>
    <t>Disease d (%)</t>
  </si>
  <si>
    <t>Disease e (%)</t>
  </si>
  <si>
    <t>Disease f (%)</t>
  </si>
  <si>
    <t>Newly certified ly impaired individuals in FY 2015</t>
  </si>
  <si>
    <t>Fig. 1 Proportion of newly certified ly impaired individuals in Japan according to the age group. y.o.: years old</t>
  </si>
  <si>
    <t>Table 1  Distribution of causative diseases/conditions in each age group of newly certified ly impaired individuals in Japan</t>
  </si>
  <si>
    <t>Supplement 3 Distribution of causative diseases/conditions according to the grade of  impairment</t>
  </si>
  <si>
    <t>Fig. 4 Distribution of different grades of newly certified  impairment in Japan</t>
  </si>
  <si>
    <t>A. Product X penetration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</si>
</sst>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(* #,##0.00_);_(* \(#,##0.00\);_(* &quot;-&quot;??_);_(@_)"/>
    <numFmt numFmtId="177" formatCode="###\ ###\ ###\ ###\ ##0.000"/>
    <numFmt numFmtId="178" formatCode="_(* #,##0_);_(* \(#,##0\);_(* &quot;-&quot;??_);_(@_)"/>
    <numFmt numFmtId="179" formatCode="0.0%"/>
    <numFmt numFmtId="180" formatCode=";;;"/>
  </numFmts>
  <fonts count="17">
    <font>
      <sz val="11"/>
      <name val="Calibri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Calibri"/>
      <family val="2"/>
    </font>
    <font>
      <sz val="6"/>
      <name val="ＭＳ Ｐゴシック"/>
      <family val="3"/>
      <charset val="128"/>
    </font>
    <font>
      <sz val="11"/>
      <name val="Calibri"/>
      <family val="2"/>
    </font>
    <font>
      <b/>
      <sz val="11"/>
      <color theme="3"/>
      <name val="游ゴシック"/>
      <family val="2"/>
      <scheme val="minor"/>
    </font>
    <font>
      <sz val="10"/>
      <color theme="1"/>
      <name val="Arial Unicode MS"/>
      <family val="3"/>
      <charset val="128"/>
    </font>
    <font>
      <sz val="10"/>
      <color theme="0"/>
      <name val="Arial Unicode MS"/>
      <family val="3"/>
      <charset val="128"/>
    </font>
    <font>
      <sz val="10"/>
      <name val="Arial"/>
      <family val="2"/>
    </font>
    <font>
      <sz val="10"/>
      <name val="Arial Unicode MS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B92E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gradientFill degree="90">
        <stop position="0">
          <color theme="9" tint="0.40000610370189521"/>
        </stop>
        <stop position="0.5">
          <color theme="9" tint="-0.25098422193060094"/>
        </stop>
        <stop position="1">
          <color theme="9" tint="0.40000610370189521"/>
        </stop>
      </gradient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medium">
        <color theme="4" tint="0.39997558519241921"/>
      </top>
      <bottom style="thin">
        <color theme="0" tint="-0.499984740745262"/>
      </bottom>
      <diagonal/>
    </border>
    <border>
      <left/>
      <right/>
      <top style="medium">
        <color theme="4" tint="0.399975585192419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</borders>
  <cellStyleXfs count="15">
    <xf numFmtId="0" fontId="0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1" applyNumberFormat="0" applyFill="0" applyAlignment="0" applyProtection="0"/>
    <xf numFmtId="0" fontId="3" fillId="4" borderId="0" applyNumberFormat="0" applyBorder="0" applyAlignment="0" applyProtection="0"/>
    <xf numFmtId="0" fontId="8" fillId="0" borderId="0"/>
    <xf numFmtId="0" fontId="9" fillId="3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10" fillId="0" borderId="0">
      <alignment vertical="center"/>
    </xf>
    <xf numFmtId="0" fontId="12" fillId="0" borderId="0">
      <alignment vertical="center"/>
    </xf>
    <xf numFmtId="40" fontId="12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81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77" fontId="0" fillId="0" borderId="0" xfId="0" applyNumberFormat="1" applyAlignment="1">
      <alignment horizontal="right" wrapText="1"/>
    </xf>
    <xf numFmtId="0" fontId="6" fillId="0" borderId="0" xfId="0" applyFont="1"/>
    <xf numFmtId="176" fontId="0" fillId="0" borderId="0" xfId="1" applyFont="1"/>
    <xf numFmtId="178" fontId="0" fillId="0" borderId="0" xfId="1" applyNumberFormat="1" applyFont="1"/>
    <xf numFmtId="178" fontId="0" fillId="0" borderId="0" xfId="0" applyNumberFormat="1"/>
    <xf numFmtId="9" fontId="0" fillId="0" borderId="0" xfId="2" applyFont="1"/>
    <xf numFmtId="179" fontId="0" fillId="0" borderId="0" xfId="2" applyNumberFormat="1" applyFont="1"/>
    <xf numFmtId="176" fontId="0" fillId="0" borderId="0" xfId="0" applyNumberFormat="1"/>
    <xf numFmtId="0" fontId="7" fillId="0" borderId="1" xfId="3" applyAlignment="1">
      <alignment horizontal="center"/>
    </xf>
    <xf numFmtId="0" fontId="7" fillId="0" borderId="1" xfId="3"/>
    <xf numFmtId="0" fontId="3" fillId="4" borderId="0" xfId="4"/>
    <xf numFmtId="178" fontId="3" fillId="4" borderId="0" xfId="4" applyNumberFormat="1"/>
    <xf numFmtId="0" fontId="8" fillId="0" borderId="0" xfId="5"/>
    <xf numFmtId="0" fontId="8" fillId="0" borderId="2" xfId="5" applyBorder="1" applyAlignment="1">
      <alignment horizontal="left"/>
    </xf>
    <xf numFmtId="0" fontId="9" fillId="5" borderId="2" xfId="6" applyFill="1" applyBorder="1" applyAlignment="1">
      <alignment horizontal="center"/>
    </xf>
    <xf numFmtId="0" fontId="8" fillId="0" borderId="2" xfId="5" applyBorder="1"/>
    <xf numFmtId="179" fontId="8" fillId="0" borderId="2" xfId="7" applyNumberFormat="1" applyBorder="1">
      <alignment vertical="center"/>
    </xf>
    <xf numFmtId="9" fontId="8" fillId="0" borderId="0" xfId="8"/>
    <xf numFmtId="2" fontId="8" fillId="6" borderId="3" xfId="5" applyNumberFormat="1" applyFill="1" applyBorder="1"/>
    <xf numFmtId="0" fontId="9" fillId="0" borderId="0" xfId="5" applyFont="1"/>
    <xf numFmtId="0" fontId="8" fillId="6" borderId="3" xfId="5" applyFill="1" applyBorder="1"/>
    <xf numFmtId="0" fontId="11" fillId="0" borderId="0" xfId="9" applyFont="1">
      <alignment vertical="center"/>
    </xf>
    <xf numFmtId="9" fontId="0" fillId="0" borderId="0" xfId="0" applyNumberFormat="1"/>
    <xf numFmtId="178" fontId="6" fillId="0" borderId="0" xfId="1" quotePrefix="1" applyNumberFormat="1"/>
    <xf numFmtId="0" fontId="12" fillId="0" borderId="0" xfId="10">
      <alignment vertical="center"/>
    </xf>
    <xf numFmtId="0" fontId="12" fillId="0" borderId="0" xfId="10" applyAlignment="1">
      <alignment horizontal="center" vertical="center"/>
    </xf>
    <xf numFmtId="0" fontId="12" fillId="7" borderId="2" xfId="10" applyFill="1" applyBorder="1">
      <alignment vertical="center"/>
    </xf>
    <xf numFmtId="40" fontId="0" fillId="0" borderId="0" xfId="11" applyFont="1">
      <alignment vertical="center"/>
    </xf>
    <xf numFmtId="0" fontId="12" fillId="0" borderId="0" xfId="10" applyAlignment="1">
      <alignment horizontal="left" vertical="center" indent="1"/>
    </xf>
    <xf numFmtId="40" fontId="0" fillId="7" borderId="2" xfId="11" applyFont="1" applyFill="1" applyBorder="1">
      <alignment vertical="center"/>
    </xf>
    <xf numFmtId="0" fontId="12" fillId="8" borderId="0" xfId="10" applyFill="1">
      <alignment vertical="center"/>
    </xf>
    <xf numFmtId="40" fontId="0" fillId="8" borderId="0" xfId="11" applyFont="1" applyFill="1">
      <alignment vertical="center"/>
    </xf>
    <xf numFmtId="0" fontId="12" fillId="8" borderId="0" xfId="10" applyFill="1" applyAlignment="1">
      <alignment horizontal="left" vertical="center" indent="1"/>
    </xf>
    <xf numFmtId="0" fontId="13" fillId="0" borderId="0" xfId="10" applyFont="1" applyAlignment="1">
      <alignment horizontal="left" vertical="center" indent="2"/>
    </xf>
    <xf numFmtId="40" fontId="14" fillId="0" borderId="0" xfId="11" applyFont="1">
      <alignment vertical="center"/>
    </xf>
    <xf numFmtId="0" fontId="14" fillId="0" borderId="0" xfId="10" applyFont="1">
      <alignment vertical="center"/>
    </xf>
    <xf numFmtId="0" fontId="12" fillId="0" borderId="0" xfId="10" applyAlignment="1">
      <alignment horizontal="left" vertical="center"/>
    </xf>
    <xf numFmtId="0" fontId="12" fillId="0" borderId="0" xfId="10" applyAlignment="1">
      <alignment horizontal="left" vertical="center" indent="2"/>
    </xf>
    <xf numFmtId="9" fontId="12" fillId="0" borderId="0" xfId="10" applyNumberFormat="1">
      <alignment vertical="center"/>
    </xf>
    <xf numFmtId="0" fontId="12" fillId="8" borderId="0" xfId="10" applyFill="1" applyAlignment="1">
      <alignment horizontal="left" vertical="center" indent="2"/>
    </xf>
    <xf numFmtId="0" fontId="12" fillId="0" borderId="0" xfId="10" applyAlignment="1">
      <alignment horizontal="left" vertical="center" indent="3"/>
    </xf>
    <xf numFmtId="176" fontId="12" fillId="7" borderId="2" xfId="1" applyFont="1" applyFill="1" applyBorder="1" applyAlignment="1">
      <alignment vertical="center"/>
    </xf>
    <xf numFmtId="180" fontId="6" fillId="0" borderId="0" xfId="0" applyNumberFormat="1" applyFont="1"/>
    <xf numFmtId="180" fontId="0" fillId="0" borderId="0" xfId="0" applyNumberFormat="1"/>
    <xf numFmtId="0" fontId="0" fillId="0" borderId="6" xfId="0" applyBorder="1" applyAlignment="1">
      <alignment horizontal="center"/>
    </xf>
    <xf numFmtId="9" fontId="0" fillId="0" borderId="10" xfId="0" applyNumberFormat="1" applyBorder="1"/>
    <xf numFmtId="41" fontId="0" fillId="0" borderId="12" xfId="0" applyNumberFormat="1" applyBorder="1"/>
    <xf numFmtId="0" fontId="6" fillId="8" borderId="7" xfId="0" applyFont="1" applyFill="1" applyBorder="1"/>
    <xf numFmtId="0" fontId="6" fillId="8" borderId="9" xfId="0" applyFont="1" applyFill="1" applyBorder="1"/>
    <xf numFmtId="0" fontId="6" fillId="8" borderId="11" xfId="0" applyFont="1" applyFill="1" applyBorder="1"/>
    <xf numFmtId="0" fontId="0" fillId="8" borderId="5" xfId="0" applyFill="1" applyBorder="1"/>
    <xf numFmtId="9" fontId="6" fillId="0" borderId="0" xfId="0" applyNumberFormat="1" applyFont="1"/>
    <xf numFmtId="0" fontId="6" fillId="8" borderId="13" xfId="0" applyFont="1" applyFill="1" applyBorder="1"/>
    <xf numFmtId="0" fontId="6" fillId="8" borderId="14" xfId="0" applyFont="1" applyFill="1" applyBorder="1"/>
    <xf numFmtId="0" fontId="6" fillId="8" borderId="15" xfId="0" applyFont="1" applyFill="1" applyBorder="1"/>
    <xf numFmtId="0" fontId="6" fillId="8" borderId="16" xfId="0" applyFont="1" applyFill="1" applyBorder="1"/>
    <xf numFmtId="0" fontId="0" fillId="8" borderId="17" xfId="0" applyFill="1" applyBorder="1"/>
    <xf numFmtId="0" fontId="0" fillId="0" borderId="6" xfId="0" applyBorder="1"/>
    <xf numFmtId="0" fontId="0" fillId="0" borderId="8" xfId="0" applyBorder="1"/>
    <xf numFmtId="9" fontId="0" fillId="9" borderId="0" xfId="2" applyFont="1" applyFill="1"/>
    <xf numFmtId="0" fontId="0" fillId="9" borderId="0" xfId="0" applyFill="1"/>
    <xf numFmtId="178" fontId="0" fillId="9" borderId="0" xfId="1" applyNumberFormat="1" applyFont="1" applyFill="1"/>
    <xf numFmtId="179" fontId="0" fillId="9" borderId="0" xfId="0" applyNumberFormat="1" applyFill="1"/>
    <xf numFmtId="9" fontId="0" fillId="9" borderId="0" xfId="0" applyNumberFormat="1" applyFill="1"/>
    <xf numFmtId="180" fontId="6" fillId="9" borderId="0" xfId="0" applyNumberFormat="1" applyFont="1" applyFill="1"/>
    <xf numFmtId="38" fontId="0" fillId="0" borderId="8" xfId="0" applyNumberFormat="1" applyBorder="1"/>
    <xf numFmtId="0" fontId="16" fillId="0" borderId="0" xfId="13" applyAlignment="1">
      <alignment horizontal="center"/>
    </xf>
    <xf numFmtId="0" fontId="1" fillId="8" borderId="0" xfId="10" applyFont="1" applyFill="1" applyAlignment="1">
      <alignment horizontal="left" vertical="center" indent="2"/>
    </xf>
    <xf numFmtId="0" fontId="1" fillId="0" borderId="0" xfId="10" applyFont="1" applyAlignment="1">
      <alignment horizontal="left" vertical="center" indent="2"/>
    </xf>
    <xf numFmtId="0" fontId="15" fillId="0" borderId="4" xfId="12" applyAlignment="1">
      <alignment horizontal="center"/>
    </xf>
    <xf numFmtId="0" fontId="16" fillId="0" borderId="18" xfId="13" applyBorder="1" applyAlignment="1">
      <alignment horizontal="center"/>
    </xf>
    <xf numFmtId="0" fontId="2" fillId="10" borderId="0" xfId="14" applyAlignment="1">
      <alignment horizontal="center"/>
    </xf>
    <xf numFmtId="0" fontId="0" fillId="2" borderId="0" xfId="0" applyFill="1"/>
    <xf numFmtId="0" fontId="0" fillId="0" borderId="0" xfId="0"/>
  </cellXfs>
  <cellStyles count="15">
    <cellStyle name="20% - アクセント 1" xfId="14" builtinId="30"/>
    <cellStyle name="20% - アクセント 3" xfId="4" builtinId="38"/>
    <cellStyle name="Accent3 2" xfId="6" xr:uid="{00000000-0005-0000-0000-000001000000}"/>
    <cellStyle name="Normal 3" xfId="9" xr:uid="{00000000-0005-0000-0000-000002000000}"/>
    <cellStyle name="Normal 4" xfId="5" xr:uid="{00000000-0005-0000-0000-000003000000}"/>
    <cellStyle name="Percent 2" xfId="8" xr:uid="{00000000-0005-0000-0000-000004000000}"/>
    <cellStyle name="Percent 3" xfId="7" xr:uid="{00000000-0005-0000-0000-000005000000}"/>
    <cellStyle name="パーセント" xfId="2" builtinId="5"/>
    <cellStyle name="桁区切り [0.00]" xfId="1" builtinId="3"/>
    <cellStyle name="桁区切り [0.00] 2" xfId="11" xr:uid="{00000000-0005-0000-0000-000008000000}"/>
    <cellStyle name="見出し 2" xfId="12" builtinId="17"/>
    <cellStyle name="見出し 3" xfId="3" builtinId="18"/>
    <cellStyle name="見出し 4" xfId="13" builtinId="19"/>
    <cellStyle name="標準" xfId="0" builtinId="0"/>
    <cellStyle name="標準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Commercial model</a:t>
            </a:r>
            <a:r>
              <a:rPr lang="en-US" altLang="ja-JP" baseline="0"/>
              <a:t> of Product X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'Forecast Table'!$B$14</c:f>
              <c:strCache>
                <c:ptCount val="1"/>
                <c:pt idx="0">
                  <c:v>Product X NHI sales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'Forecast Table'!$H$1:$AC$1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'Forecast Table'!$H$14:$AC$14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307.91175703114652</c:v>
                </c:pt>
                <c:pt idx="4">
                  <c:v>1043.2927529359617</c:v>
                </c:pt>
                <c:pt idx="5">
                  <c:v>1574.5771229120542</c:v>
                </c:pt>
                <c:pt idx="6">
                  <c:v>1900.395923724187</c:v>
                </c:pt>
                <c:pt idx="7">
                  <c:v>2073.2377070123139</c:v>
                </c:pt>
                <c:pt idx="8">
                  <c:v>2153.7457963531701</c:v>
                </c:pt>
                <c:pt idx="9">
                  <c:v>2183.2015389154226</c:v>
                </c:pt>
                <c:pt idx="10">
                  <c:v>2185.6754492868072</c:v>
                </c:pt>
                <c:pt idx="11">
                  <c:v>2174.6165665266681</c:v>
                </c:pt>
                <c:pt idx="12">
                  <c:v>2150.7422758576104</c:v>
                </c:pt>
                <c:pt idx="13">
                  <c:v>1537.4171842260191</c:v>
                </c:pt>
                <c:pt idx="14">
                  <c:v>1228.4747554718224</c:v>
                </c:pt>
                <c:pt idx="15">
                  <c:v>1055.2828022920064</c:v>
                </c:pt>
                <c:pt idx="16">
                  <c:v>954.69552835494255</c:v>
                </c:pt>
                <c:pt idx="17">
                  <c:v>882.68821458971729</c:v>
                </c:pt>
                <c:pt idx="18">
                  <c:v>823.2911812844925</c:v>
                </c:pt>
                <c:pt idx="19">
                  <c:v>770.69638163463708</c:v>
                </c:pt>
                <c:pt idx="20">
                  <c:v>723.43668274708421</c:v>
                </c:pt>
                <c:pt idx="21">
                  <c:v>681.02913088541823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A-4736-9F65-688D6480ABF5}"/>
            </c:ext>
          </c:extLst>
        </c:ser>
        <c:ser>
          <c:idx val="1"/>
          <c:order val="1"/>
          <c:tx>
            <c:strRef>
              <c:f>'Forecast Table'!$B$25</c:f>
              <c:strCache>
                <c:ptCount val="1"/>
                <c:pt idx="0">
                  <c:v>Product X NI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'Forecast Table'!$H$1:$AC$1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'Forecast Table'!$H$25:$AC$25</c:f>
              <c:numCache>
                <c:formatCode>_(* #,##0.00_);_(* \(#,##0.00\);_(* "-"??_);_(@_)</c:formatCode>
                <c:ptCount val="22"/>
                <c:pt idx="0">
                  <c:v>-200</c:v>
                </c:pt>
                <c:pt idx="1">
                  <c:v>-578.5</c:v>
                </c:pt>
                <c:pt idx="2">
                  <c:v>-752.01</c:v>
                </c:pt>
                <c:pt idx="3">
                  <c:v>-1092.0269483907223</c:v>
                </c:pt>
                <c:pt idx="4">
                  <c:v>-442.35492157032172</c:v>
                </c:pt>
                <c:pt idx="5">
                  <c:v>32.954337067916676</c:v>
                </c:pt>
                <c:pt idx="6">
                  <c:v>227.4541497602072</c:v>
                </c:pt>
                <c:pt idx="7">
                  <c:v>365.47208557411102</c:v>
                </c:pt>
                <c:pt idx="8">
                  <c:v>422.85352884259925</c:v>
                </c:pt>
                <c:pt idx="9">
                  <c:v>676.81602197462564</c:v>
                </c:pt>
                <c:pt idx="10">
                  <c:v>687.06287503180261</c:v>
                </c:pt>
                <c:pt idx="11">
                  <c:v>906.24847804273713</c:v>
                </c:pt>
                <c:pt idx="12">
                  <c:v>888.29121613836014</c:v>
                </c:pt>
                <c:pt idx="13">
                  <c:v>605.63286359575341</c:v>
                </c:pt>
                <c:pt idx="14">
                  <c:v>417.04499937853484</c:v>
                </c:pt>
                <c:pt idx="15">
                  <c:v>310.19528280459957</c:v>
                </c:pt>
                <c:pt idx="16">
                  <c:v>246.80265851448448</c:v>
                </c:pt>
                <c:pt idx="17">
                  <c:v>219.53829794688434</c:v>
                </c:pt>
                <c:pt idx="18">
                  <c:v>194.16296033639378</c:v>
                </c:pt>
                <c:pt idx="19">
                  <c:v>159.97655005923178</c:v>
                </c:pt>
                <c:pt idx="20">
                  <c:v>129.08418790133749</c:v>
                </c:pt>
                <c:pt idx="21">
                  <c:v>101.16398221831309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A-4736-9F65-688D6480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758144016"/>
        <c:axId val="758143688"/>
      </c:barChart>
      <c:lineChart>
        <c:grouping val="standard"/>
        <c:varyColors val="0"/>
        <c:ser>
          <c:idx val="2"/>
          <c:order val="2"/>
          <c:tx>
            <c:strRef>
              <c:f>'Forecast Table'!$B$17</c:f>
              <c:strCache>
                <c:ptCount val="1"/>
                <c:pt idx="0">
                  <c:v>CoGs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'Forecast Table'!$H$1:$AC$1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'Forecast Table'!$H$17:$AC$17</c:f>
              <c:numCache>
                <c:formatCode>_(* #,##0.00_);_(* \(#,##0.00\);_(*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18.474705421868791</c:v>
                </c:pt>
                <c:pt idx="4">
                  <c:v>63.875066506283368</c:v>
                </c:pt>
                <c:pt idx="5">
                  <c:v>98.370082647566889</c:v>
                </c:pt>
                <c:pt idx="6">
                  <c:v>121.14824119143728</c:v>
                </c:pt>
                <c:pt idx="7">
                  <c:v>134.86400313377993</c:v>
                </c:pt>
                <c:pt idx="8">
                  <c:v>142.9602551890199</c:v>
                </c:pt>
                <c:pt idx="9">
                  <c:v>147.87291189112352</c:v>
                </c:pt>
                <c:pt idx="10">
                  <c:v>151.061709320717</c:v>
                </c:pt>
                <c:pt idx="11">
                  <c:v>153.3646744491144</c:v>
                </c:pt>
                <c:pt idx="12">
                  <c:v>154.77647126963137</c:v>
                </c:pt>
                <c:pt idx="13">
                  <c:v>130.16354690787796</c:v>
                </c:pt>
                <c:pt idx="14">
                  <c:v>110.64607846752405</c:v>
                </c:pt>
                <c:pt idx="15">
                  <c:v>101.11388491916968</c:v>
                </c:pt>
                <c:pt idx="16">
                  <c:v>97.314817167275351</c:v>
                </c:pt>
                <c:pt idx="17">
                  <c:v>95.717987107857397</c:v>
                </c:pt>
                <c:pt idx="18">
                  <c:v>94.975554744423476</c:v>
                </c:pt>
                <c:pt idx="19">
                  <c:v>94.583164846674151</c:v>
                </c:pt>
                <c:pt idx="20">
                  <c:v>94.450268021944964</c:v>
                </c:pt>
                <c:pt idx="21">
                  <c:v>94.588971621239594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2A-4736-9F65-688D6480ABF5}"/>
            </c:ext>
          </c:extLst>
        </c:ser>
        <c:ser>
          <c:idx val="3"/>
          <c:order val="3"/>
          <c:tx>
            <c:strRef>
              <c:f>'Forecast Table'!$B$18</c:f>
              <c:strCache>
                <c:ptCount val="1"/>
                <c:pt idx="0">
                  <c:v>SG&amp;A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'Forecast Table'!$H$1:$AC$1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'Forecast Table'!$H$18:$AC$18</c:f>
              <c:numCache>
                <c:formatCode>_(* #,##0.00_);_(* \(#,##0.00\);_(* "-"??_);_(@_)</c:formatCode>
                <c:ptCount val="22"/>
                <c:pt idx="0">
                  <c:v>0</c:v>
                </c:pt>
                <c:pt idx="1">
                  <c:v>378.5</c:v>
                </c:pt>
                <c:pt idx="2">
                  <c:v>552.01</c:v>
                </c:pt>
                <c:pt idx="3">
                  <c:v>1331.4639999999999</c:v>
                </c:pt>
                <c:pt idx="4">
                  <c:v>1371.772608</c:v>
                </c:pt>
                <c:pt idx="5">
                  <c:v>1375.50806016</c:v>
                </c:pt>
                <c:pt idx="6">
                  <c:v>1379.3182213632001</c:v>
                </c:pt>
                <c:pt idx="7">
                  <c:v>1326.10895684144</c:v>
                </c:pt>
                <c:pt idx="8">
                  <c:v>1310.2416506370746</c:v>
                </c:pt>
                <c:pt idx="9">
                  <c:v>994.073208601798</c:v>
                </c:pt>
                <c:pt idx="10">
                  <c:v>977.59393222485539</c:v>
                </c:pt>
                <c:pt idx="11">
                  <c:v>627.02346431949672</c:v>
                </c:pt>
                <c:pt idx="12">
                  <c:v>629.3639336058867</c:v>
                </c:pt>
                <c:pt idx="13">
                  <c:v>475.51077024775128</c:v>
                </c:pt>
                <c:pt idx="14">
                  <c:v>476.2209856527063</c:v>
                </c:pt>
                <c:pt idx="15">
                  <c:v>476.94540536576045</c:v>
                </c:pt>
                <c:pt idx="16">
                  <c:v>477.68431347307563</c:v>
                </c:pt>
                <c:pt idx="17">
                  <c:v>449.21899987126858</c:v>
                </c:pt>
                <c:pt idx="18">
                  <c:v>429.60337986869393</c:v>
                </c:pt>
                <c:pt idx="19">
                  <c:v>429.99544746606784</c:v>
                </c:pt>
                <c:pt idx="20">
                  <c:v>430.39535641538919</c:v>
                </c:pt>
                <c:pt idx="21">
                  <c:v>430.80326354369697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2A-4736-9F65-688D6480ABF5}"/>
            </c:ext>
          </c:extLst>
        </c:ser>
        <c:ser>
          <c:idx val="4"/>
          <c:order val="4"/>
          <c:tx>
            <c:strRef>
              <c:f>'Forecast Table'!$B$19</c:f>
              <c:strCache>
                <c:ptCount val="1"/>
                <c:pt idx="0">
                  <c:v>R&amp;D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'Forecast Table'!$H$1:$AC$1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'Forecast Table'!$H$19:$AC$19</c:f>
              <c:numCache>
                <c:formatCode>_(* #,##0.00_);_(* \(#,##0.00\);_(* "-"??_);_(@_)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2A-4736-9F65-688D6480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144016"/>
        <c:axId val="758143688"/>
      </c:lineChart>
      <c:catAx>
        <c:axId val="7581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8143688"/>
        <c:crosses val="autoZero"/>
        <c:auto val="1"/>
        <c:lblAlgn val="ctr"/>
        <c:lblOffset val="100"/>
        <c:noMultiLvlLbl val="0"/>
      </c:catAx>
      <c:valAx>
        <c:axId val="75814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814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Curves!$B$3:$BN$3</c:f>
              <c:numCache>
                <c:formatCode>General</c:formatCode>
                <c:ptCount val="65"/>
                <c:pt idx="0">
                  <c:v>0</c:v>
                </c:pt>
                <c:pt idx="1">
                  <c:v>0.125</c:v>
                </c:pt>
                <c:pt idx="2">
                  <c:v>0.375</c:v>
                </c:pt>
                <c:pt idx="3">
                  <c:v>0.625</c:v>
                </c:pt>
                <c:pt idx="4">
                  <c:v>0.875</c:v>
                </c:pt>
                <c:pt idx="5">
                  <c:v>1.125</c:v>
                </c:pt>
                <c:pt idx="6">
                  <c:v>1.375</c:v>
                </c:pt>
                <c:pt idx="7">
                  <c:v>1.625</c:v>
                </c:pt>
                <c:pt idx="8">
                  <c:v>1.875</c:v>
                </c:pt>
                <c:pt idx="9">
                  <c:v>2.125</c:v>
                </c:pt>
                <c:pt idx="10">
                  <c:v>2.375</c:v>
                </c:pt>
                <c:pt idx="11">
                  <c:v>2.625</c:v>
                </c:pt>
                <c:pt idx="12">
                  <c:v>2.875</c:v>
                </c:pt>
                <c:pt idx="13">
                  <c:v>3.125</c:v>
                </c:pt>
                <c:pt idx="14">
                  <c:v>3.375</c:v>
                </c:pt>
                <c:pt idx="15">
                  <c:v>3.625</c:v>
                </c:pt>
                <c:pt idx="16">
                  <c:v>3.875</c:v>
                </c:pt>
                <c:pt idx="17">
                  <c:v>4.125</c:v>
                </c:pt>
                <c:pt idx="18">
                  <c:v>4.375</c:v>
                </c:pt>
                <c:pt idx="19">
                  <c:v>4.625</c:v>
                </c:pt>
                <c:pt idx="20">
                  <c:v>4.875</c:v>
                </c:pt>
                <c:pt idx="21">
                  <c:v>5.125</c:v>
                </c:pt>
                <c:pt idx="22">
                  <c:v>5.375</c:v>
                </c:pt>
                <c:pt idx="23">
                  <c:v>5.625</c:v>
                </c:pt>
                <c:pt idx="24">
                  <c:v>5.875</c:v>
                </c:pt>
                <c:pt idx="25">
                  <c:v>6.125</c:v>
                </c:pt>
                <c:pt idx="26">
                  <c:v>6.375</c:v>
                </c:pt>
                <c:pt idx="27">
                  <c:v>6.625</c:v>
                </c:pt>
                <c:pt idx="28">
                  <c:v>6.875</c:v>
                </c:pt>
                <c:pt idx="29">
                  <c:v>7.125</c:v>
                </c:pt>
                <c:pt idx="30">
                  <c:v>7.375</c:v>
                </c:pt>
                <c:pt idx="31">
                  <c:v>7.625</c:v>
                </c:pt>
                <c:pt idx="32">
                  <c:v>7.875</c:v>
                </c:pt>
                <c:pt idx="33">
                  <c:v>8.125</c:v>
                </c:pt>
                <c:pt idx="34">
                  <c:v>8.375</c:v>
                </c:pt>
                <c:pt idx="35">
                  <c:v>8.625</c:v>
                </c:pt>
                <c:pt idx="36">
                  <c:v>8.875</c:v>
                </c:pt>
                <c:pt idx="37">
                  <c:v>9.125</c:v>
                </c:pt>
                <c:pt idx="38">
                  <c:v>9.375</c:v>
                </c:pt>
                <c:pt idx="39">
                  <c:v>9.625</c:v>
                </c:pt>
                <c:pt idx="40">
                  <c:v>9.875</c:v>
                </c:pt>
                <c:pt idx="41">
                  <c:v>10.125</c:v>
                </c:pt>
                <c:pt idx="42">
                  <c:v>10.375</c:v>
                </c:pt>
                <c:pt idx="43">
                  <c:v>10.625</c:v>
                </c:pt>
                <c:pt idx="44">
                  <c:v>10.875</c:v>
                </c:pt>
                <c:pt idx="45">
                  <c:v>11.125</c:v>
                </c:pt>
                <c:pt idx="46">
                  <c:v>11.375</c:v>
                </c:pt>
                <c:pt idx="47">
                  <c:v>11.625</c:v>
                </c:pt>
                <c:pt idx="48">
                  <c:v>11.875</c:v>
                </c:pt>
                <c:pt idx="49">
                  <c:v>12.125</c:v>
                </c:pt>
                <c:pt idx="50">
                  <c:v>12.375</c:v>
                </c:pt>
                <c:pt idx="51">
                  <c:v>12.625</c:v>
                </c:pt>
                <c:pt idx="52">
                  <c:v>12.875</c:v>
                </c:pt>
                <c:pt idx="53">
                  <c:v>13.125</c:v>
                </c:pt>
                <c:pt idx="54">
                  <c:v>13.375</c:v>
                </c:pt>
                <c:pt idx="55">
                  <c:v>13.625</c:v>
                </c:pt>
                <c:pt idx="56">
                  <c:v>13.875</c:v>
                </c:pt>
                <c:pt idx="57">
                  <c:v>14.125</c:v>
                </c:pt>
                <c:pt idx="58">
                  <c:v>14.375</c:v>
                </c:pt>
                <c:pt idx="59">
                  <c:v>14.625</c:v>
                </c:pt>
                <c:pt idx="60">
                  <c:v>14.875</c:v>
                </c:pt>
                <c:pt idx="61">
                  <c:v>15.125</c:v>
                </c:pt>
                <c:pt idx="62">
                  <c:v>15.375</c:v>
                </c:pt>
                <c:pt idx="63">
                  <c:v>15.625</c:v>
                </c:pt>
                <c:pt idx="64">
                  <c:v>15.875</c:v>
                </c:pt>
              </c:numCache>
            </c:numRef>
          </c:cat>
          <c:val>
            <c:numRef>
              <c:f>Curves!$B$4:$BN$4</c:f>
              <c:numCache>
                <c:formatCode>0.0%</c:formatCode>
                <c:ptCount val="65"/>
                <c:pt idx="0">
                  <c:v>0</c:v>
                </c:pt>
                <c:pt idx="1">
                  <c:v>4.3695605742446735E-2</c:v>
                </c:pt>
                <c:pt idx="2">
                  <c:v>0.13027966648200834</c:v>
                </c:pt>
                <c:pt idx="3">
                  <c:v>0.21476077127338764</c:v>
                </c:pt>
                <c:pt idx="4">
                  <c:v>0.29601721284676602</c:v>
                </c:pt>
                <c:pt idx="5">
                  <c:v>0.37310197101193282</c:v>
                </c:pt>
                <c:pt idx="6">
                  <c:v>0.44527868791412456</c:v>
                </c:pt>
                <c:pt idx="7">
                  <c:v>0.51203667039597955</c:v>
                </c:pt>
                <c:pt idx="8">
                  <c:v>0.57308644860497771</c:v>
                </c:pt>
                <c:pt idx="9">
                  <c:v>0.62833981479210554</c:v>
                </c:pt>
                <c:pt idx="10">
                  <c:v>0.67787947241023083</c:v>
                </c:pt>
                <c:pt idx="11">
                  <c:v>0.72192350196465827</c:v>
                </c:pt>
                <c:pt idx="12">
                  <c:v>0.7607891040123842</c:v>
                </c:pt>
                <c:pt idx="13">
                  <c:v>0.79485890397695846</c:v>
                </c:pt>
                <c:pt idx="14">
                  <c:v>0.82455184581548924</c:v>
                </c:pt>
                <c:pt idx="15">
                  <c:v>0.85029959801450083</c:v>
                </c:pt>
                <c:pt idx="16">
                  <c:v>0.87252856105010101</c:v>
                </c:pt>
                <c:pt idx="17">
                  <c:v>0.89164702046584465</c:v>
                </c:pt>
                <c:pt idx="18">
                  <c:v>0.90803669642491103</c:v>
                </c:pt>
                <c:pt idx="19">
                  <c:v>0.92204783664712564</c:v>
                </c:pt>
                <c:pt idx="20">
                  <c:v>0.93399702076089597</c:v>
                </c:pt>
                <c:pt idx="21">
                  <c:v>0.94416693613704217</c:v>
                </c:pt>
                <c:pt idx="22">
                  <c:v>0.95280750837814332</c:v>
                </c:pt>
                <c:pt idx="23">
                  <c:v>0.96013789772165836</c:v>
                </c:pt>
                <c:pt idx="24">
                  <c:v>0.9663489906637418</c:v>
                </c:pt>
                <c:pt idx="25">
                  <c:v>0.97160611701648258</c:v>
                </c:pt>
                <c:pt idx="26">
                  <c:v>0.9760518043537697</c:v>
                </c:pt>
                <c:pt idx="27">
                  <c:v>0.97980844528285549</c:v>
                </c:pt>
                <c:pt idx="28">
                  <c:v>0.98298080053191017</c:v>
                </c:pt>
                <c:pt idx="29">
                  <c:v>0.98565829528911664</c:v>
                </c:pt>
                <c:pt idx="30">
                  <c:v>0.98791709033924702</c:v>
                </c:pt>
                <c:pt idx="31">
                  <c:v>0.98982192577937367</c:v>
                </c:pt>
                <c:pt idx="32">
                  <c:v>0.99142774550479318</c:v>
                </c:pt>
                <c:pt idx="33">
                  <c:v>0.99278111687117809</c:v>
                </c:pt>
                <c:pt idx="34">
                  <c:v>0.99392146321644903</c:v>
                </c:pt>
                <c:pt idx="35">
                  <c:v>0.99488212820805944</c:v>
                </c:pt>
                <c:pt idx="36">
                  <c:v>0.995691290957881</c:v>
                </c:pt>
                <c:pt idx="37">
                  <c:v>0.99637275001123304</c:v>
                </c:pt>
                <c:pt idx="38">
                  <c:v>0.99694659301417665</c:v>
                </c:pt>
                <c:pt idx="39">
                  <c:v>0.99742976732982513</c:v>
                </c:pt>
                <c:pt idx="40">
                  <c:v>0.99783656526644826</c:v>
                </c:pt>
                <c:pt idx="41">
                  <c:v>0.99817903599729629</c:v>
                </c:pt>
                <c:pt idx="42">
                  <c:v>0.99846733475451743</c:v>
                </c:pt>
                <c:pt idx="43">
                  <c:v>0.99871001850033547</c:v>
                </c:pt>
                <c:pt idx="44">
                  <c:v>0.99891429603271975</c:v>
                </c:pt>
                <c:pt idx="45">
                  <c:v>0.99908623937325269</c:v>
                </c:pt>
                <c:pt idx="46">
                  <c:v>0.99923096230758801</c:v>
                </c:pt>
                <c:pt idx="47">
                  <c:v>0.99935277109535559</c:v>
                </c:pt>
                <c:pt idx="48">
                  <c:v>0.99945529162591951</c:v>
                </c:pt>
                <c:pt idx="49">
                  <c:v>0.99954157665749799</c:v>
                </c:pt>
                <c:pt idx="50">
                  <c:v>0.99961419622827663</c:v>
                </c:pt>
                <c:pt idx="51">
                  <c:v>0.99967531385826047</c:v>
                </c:pt>
                <c:pt idx="52">
                  <c:v>0.99972675075952544</c:v>
                </c:pt>
                <c:pt idx="53">
                  <c:v>0.99977003993095692</c:v>
                </c:pt>
                <c:pt idx="54">
                  <c:v>0.99980647172326997</c:v>
                </c:pt>
                <c:pt idx="55">
                  <c:v>0.99983713221378345</c:v>
                </c:pt>
                <c:pt idx="56">
                  <c:v>0.99986293552168115</c:v>
                </c:pt>
                <c:pt idx="57">
                  <c:v>0.99988465101781987</c:v>
                </c:pt>
                <c:pt idx="58">
                  <c:v>0.999902926233732</c:v>
                </c:pt>
                <c:pt idx="59">
                  <c:v>0.99991830614822852</c:v>
                </c:pt>
                <c:pt idx="60">
                  <c:v>0.99993124942340139</c:v>
                </c:pt>
                <c:pt idx="61">
                  <c:v>0.99994214207184762</c:v>
                </c:pt>
                <c:pt idx="62">
                  <c:v>0.99995130896104634</c:v>
                </c:pt>
                <c:pt idx="63">
                  <c:v>0.99995902349680799</c:v>
                </c:pt>
                <c:pt idx="64">
                  <c:v>0.99996551577377224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F-4C69-B9D2-A05BDC22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0096"/>
        <c:axId val="206500880"/>
      </c:lineChart>
      <c:catAx>
        <c:axId val="2065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500880"/>
        <c:crosses val="autoZero"/>
        <c:auto val="1"/>
        <c:lblAlgn val="ctr"/>
        <c:lblOffset val="100"/>
        <c:noMultiLvlLbl val="0"/>
      </c:catAx>
      <c:valAx>
        <c:axId val="2065008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6500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Curves!$B$3:$BN$3</c:f>
              <c:numCache>
                <c:formatCode>General</c:formatCode>
                <c:ptCount val="65"/>
                <c:pt idx="0">
                  <c:v>0</c:v>
                </c:pt>
                <c:pt idx="1">
                  <c:v>0.125</c:v>
                </c:pt>
                <c:pt idx="2">
                  <c:v>0.375</c:v>
                </c:pt>
                <c:pt idx="3">
                  <c:v>0.625</c:v>
                </c:pt>
                <c:pt idx="4">
                  <c:v>0.875</c:v>
                </c:pt>
                <c:pt idx="5">
                  <c:v>1.125</c:v>
                </c:pt>
                <c:pt idx="6">
                  <c:v>1.375</c:v>
                </c:pt>
                <c:pt idx="7">
                  <c:v>1.625</c:v>
                </c:pt>
                <c:pt idx="8">
                  <c:v>1.875</c:v>
                </c:pt>
                <c:pt idx="9">
                  <c:v>2.125</c:v>
                </c:pt>
                <c:pt idx="10">
                  <c:v>2.375</c:v>
                </c:pt>
                <c:pt idx="11">
                  <c:v>2.625</c:v>
                </c:pt>
                <c:pt idx="12">
                  <c:v>2.875</c:v>
                </c:pt>
                <c:pt idx="13">
                  <c:v>3.125</c:v>
                </c:pt>
                <c:pt idx="14">
                  <c:v>3.375</c:v>
                </c:pt>
                <c:pt idx="15">
                  <c:v>3.625</c:v>
                </c:pt>
                <c:pt idx="16">
                  <c:v>3.875</c:v>
                </c:pt>
                <c:pt idx="17">
                  <c:v>4.125</c:v>
                </c:pt>
                <c:pt idx="18">
                  <c:v>4.375</c:v>
                </c:pt>
                <c:pt idx="19">
                  <c:v>4.625</c:v>
                </c:pt>
                <c:pt idx="20">
                  <c:v>4.875</c:v>
                </c:pt>
                <c:pt idx="21">
                  <c:v>5.125</c:v>
                </c:pt>
                <c:pt idx="22">
                  <c:v>5.375</c:v>
                </c:pt>
                <c:pt idx="23">
                  <c:v>5.625</c:v>
                </c:pt>
                <c:pt idx="24">
                  <c:v>5.875</c:v>
                </c:pt>
                <c:pt idx="25">
                  <c:v>6.125</c:v>
                </c:pt>
                <c:pt idx="26">
                  <c:v>6.375</c:v>
                </c:pt>
                <c:pt idx="27">
                  <c:v>6.625</c:v>
                </c:pt>
                <c:pt idx="28">
                  <c:v>6.875</c:v>
                </c:pt>
                <c:pt idx="29">
                  <c:v>7.125</c:v>
                </c:pt>
                <c:pt idx="30">
                  <c:v>7.375</c:v>
                </c:pt>
                <c:pt idx="31">
                  <c:v>7.625</c:v>
                </c:pt>
                <c:pt idx="32">
                  <c:v>7.875</c:v>
                </c:pt>
                <c:pt idx="33">
                  <c:v>8.125</c:v>
                </c:pt>
                <c:pt idx="34">
                  <c:v>8.375</c:v>
                </c:pt>
                <c:pt idx="35">
                  <c:v>8.625</c:v>
                </c:pt>
                <c:pt idx="36">
                  <c:v>8.875</c:v>
                </c:pt>
                <c:pt idx="37">
                  <c:v>9.125</c:v>
                </c:pt>
                <c:pt idx="38">
                  <c:v>9.375</c:v>
                </c:pt>
                <c:pt idx="39">
                  <c:v>9.625</c:v>
                </c:pt>
                <c:pt idx="40">
                  <c:v>9.875</c:v>
                </c:pt>
                <c:pt idx="41">
                  <c:v>10.125</c:v>
                </c:pt>
                <c:pt idx="42">
                  <c:v>10.375</c:v>
                </c:pt>
                <c:pt idx="43">
                  <c:v>10.625</c:v>
                </c:pt>
                <c:pt idx="44">
                  <c:v>10.875</c:v>
                </c:pt>
                <c:pt idx="45">
                  <c:v>11.125</c:v>
                </c:pt>
                <c:pt idx="46">
                  <c:v>11.375</c:v>
                </c:pt>
                <c:pt idx="47">
                  <c:v>11.625</c:v>
                </c:pt>
                <c:pt idx="48">
                  <c:v>11.875</c:v>
                </c:pt>
                <c:pt idx="49">
                  <c:v>12.125</c:v>
                </c:pt>
                <c:pt idx="50">
                  <c:v>12.375</c:v>
                </c:pt>
                <c:pt idx="51">
                  <c:v>12.625</c:v>
                </c:pt>
                <c:pt idx="52">
                  <c:v>12.875</c:v>
                </c:pt>
                <c:pt idx="53">
                  <c:v>13.125</c:v>
                </c:pt>
                <c:pt idx="54">
                  <c:v>13.375</c:v>
                </c:pt>
                <c:pt idx="55">
                  <c:v>13.625</c:v>
                </c:pt>
                <c:pt idx="56">
                  <c:v>13.875</c:v>
                </c:pt>
                <c:pt idx="57">
                  <c:v>14.125</c:v>
                </c:pt>
                <c:pt idx="58">
                  <c:v>14.375</c:v>
                </c:pt>
                <c:pt idx="59">
                  <c:v>14.625</c:v>
                </c:pt>
                <c:pt idx="60">
                  <c:v>14.875</c:v>
                </c:pt>
                <c:pt idx="61">
                  <c:v>15.125</c:v>
                </c:pt>
                <c:pt idx="62">
                  <c:v>15.375</c:v>
                </c:pt>
                <c:pt idx="63">
                  <c:v>15.625</c:v>
                </c:pt>
                <c:pt idx="64">
                  <c:v>15.875</c:v>
                </c:pt>
              </c:numCache>
            </c:numRef>
          </c:cat>
          <c:val>
            <c:numRef>
              <c:f>Curves!$B$13:$BN$13</c:f>
              <c:numCache>
                <c:formatCode>0.0%</c:formatCode>
                <c:ptCount val="65"/>
                <c:pt idx="0">
                  <c:v>0</c:v>
                </c:pt>
                <c:pt idx="1">
                  <c:v>6.2418746747512487E-2</c:v>
                </c:pt>
                <c:pt idx="2">
                  <c:v>0.18533319990813948</c:v>
                </c:pt>
                <c:pt idx="3">
                  <c:v>0.30270972933210843</c:v>
                </c:pt>
                <c:pt idx="4">
                  <c:v>0.41157005567402238</c:v>
                </c:pt>
                <c:pt idx="5">
                  <c:v>0.50982997373525663</c:v>
                </c:pt>
                <c:pt idx="6">
                  <c:v>0.59637355547924231</c:v>
                </c:pt>
                <c:pt idx="7">
                  <c:v>0.67096707420687374</c:v>
                </c:pt>
                <c:pt idx="8">
                  <c:v>0.73407151960434147</c:v>
                </c:pt>
                <c:pt idx="9">
                  <c:v>0.78661881210869755</c:v>
                </c:pt>
                <c:pt idx="10">
                  <c:v>0.8298019099859596</c:v>
                </c:pt>
                <c:pt idx="11">
                  <c:v>0.86490661772074184</c:v>
                </c:pt>
                <c:pt idx="12">
                  <c:v>0.89319334040035148</c:v>
                </c:pt>
                <c:pt idx="13">
                  <c:v>0.91582454416876224</c:v>
                </c:pt>
                <c:pt idx="14">
                  <c:v>0.93382804322259172</c:v>
                </c:pt>
                <c:pt idx="15">
                  <c:v>0.9480852856044063</c:v>
                </c:pt>
                <c:pt idx="16">
                  <c:v>0.95933529331468237</c:v>
                </c:pt>
                <c:pt idx="17">
                  <c:v>0.96818721657637052</c:v>
                </c:pt>
                <c:pt idx="18">
                  <c:v>0.97513669829362826</c:v>
                </c:pt>
                <c:pt idx="19">
                  <c:v>0.9805830470370519</c:v>
                </c:pt>
                <c:pt idx="20">
                  <c:v>0.9848455174642784</c:v>
                </c:pt>
                <c:pt idx="21">
                  <c:v>0.98817786228751237</c:v>
                </c:pt>
                <c:pt idx="22">
                  <c:v>0.99078085564125162</c:v>
                </c:pt>
                <c:pt idx="23">
                  <c:v>0.99281279483715978</c:v>
                </c:pt>
                <c:pt idx="24">
                  <c:v>0.99439814606575794</c:v>
                </c:pt>
                <c:pt idx="25">
                  <c:v>0.99563456710930964</c:v>
                </c:pt>
                <c:pt idx="26">
                  <c:v>0.99659855517712947</c:v>
                </c:pt>
                <c:pt idx="27">
                  <c:v>0.99734995516557368</c:v>
                </c:pt>
                <c:pt idx="28">
                  <c:v>0.99793553792649037</c:v>
                </c:pt>
                <c:pt idx="29">
                  <c:v>0.9983918281287415</c:v>
                </c:pt>
                <c:pt idx="30">
                  <c:v>0.99874733168378105</c:v>
                </c:pt>
                <c:pt idx="31">
                  <c:v>0.99902428575443547</c:v>
                </c:pt>
                <c:pt idx="32">
                  <c:v>0.99924003097049618</c:v>
                </c:pt>
                <c:pt idx="33">
                  <c:v>0.99940808577297391</c:v>
                </c:pt>
                <c:pt idx="34">
                  <c:v>0.9995389865560137</c:v>
                </c:pt>
                <c:pt idx="35">
                  <c:v>0.99964094406130644</c:v>
                </c:pt>
                <c:pt idx="36">
                  <c:v>0.99972035584870533</c:v>
                </c:pt>
                <c:pt idx="37">
                  <c:v>0.99978220617994684</c:v>
                </c:pt>
                <c:pt idx="38">
                  <c:v>0.99983037791655294</c:v>
                </c:pt>
                <c:pt idx="39">
                  <c:v>0.99986789571029078</c:v>
                </c:pt>
                <c:pt idx="40">
                  <c:v>0.9998971155725157</c:v>
                </c:pt>
                <c:pt idx="41">
                  <c:v>0.99991987261554161</c:v>
                </c:pt>
                <c:pt idx="42">
                  <c:v>0.99993759617721212</c:v>
                </c:pt>
                <c:pt idx="43">
                  <c:v>0.99995139951851342</c:v>
                </c:pt>
                <c:pt idx="44">
                  <c:v>0.99996214970350794</c:v>
                </c:pt>
                <c:pt idx="45">
                  <c:v>0.99997052203605097</c:v>
                </c:pt>
                <c:pt idx="46">
                  <c:v>0.99997704246374597</c:v>
                </c:pt>
                <c:pt idx="47">
                  <c:v>0.99998212060739033</c:v>
                </c:pt>
                <c:pt idx="48">
                  <c:v>0.99998607548749974</c:v>
                </c:pt>
                <c:pt idx="49">
                  <c:v>0.99998915556206003</c:v>
                </c:pt>
                <c:pt idx="50">
                  <c:v>0.9999915543331106</c:v>
                </c:pt>
                <c:pt idx="51">
                  <c:v>0.99999342250186918</c:v>
                </c:pt>
                <c:pt idx="52">
                  <c:v>0.99999487743557858</c:v>
                </c:pt>
                <c:pt idx="53">
                  <c:v>0.99999601054055698</c:v>
                </c:pt>
                <c:pt idx="54">
                  <c:v>0.99999689300449068</c:v>
                </c:pt>
                <c:pt idx="55">
                  <c:v>0.99999758026863284</c:v>
                </c:pt>
                <c:pt idx="56">
                  <c:v>0.9999981155108123</c:v>
                </c:pt>
                <c:pt idx="57">
                  <c:v>0.99999853235803893</c:v>
                </c:pt>
                <c:pt idx="58">
                  <c:v>0.99999885699910607</c:v>
                </c:pt>
                <c:pt idx="59">
                  <c:v>0.99999910982989626</c:v>
                </c:pt>
                <c:pt idx="60">
                  <c:v>0.9999993067347579</c:v>
                </c:pt>
                <c:pt idx="61">
                  <c:v>0.99999946008444518</c:v>
                </c:pt>
                <c:pt idx="62">
                  <c:v>0.99999957951331797</c:v>
                </c:pt>
                <c:pt idx="63">
                  <c:v>0.9999996725246274</c:v>
                </c:pt>
                <c:pt idx="64">
                  <c:v>0.99999974496191424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E-4F49-BD3C-35E10E99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2056"/>
        <c:axId val="203818120"/>
      </c:lineChart>
      <c:catAx>
        <c:axId val="2065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818120"/>
        <c:crosses val="autoZero"/>
        <c:auto val="1"/>
        <c:lblAlgn val="ctr"/>
        <c:lblOffset val="100"/>
        <c:noMultiLvlLbl val="0"/>
      </c:catAx>
      <c:valAx>
        <c:axId val="2038181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6502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B$7" lockText="1" noThreeD="1"/>
</file>

<file path=xl/ctrlProps/ctrlProp10.xml><?xml version="1.0" encoding="utf-8"?>
<formControlPr xmlns="http://schemas.microsoft.com/office/spreadsheetml/2009/9/main" objectType="Spin" dx="31" fmlaLink="$G$19" inc="5" max="100" page="10" val="50"/>
</file>

<file path=xl/ctrlProps/ctrlProp11.xml><?xml version="1.0" encoding="utf-8"?>
<formControlPr xmlns="http://schemas.microsoft.com/office/spreadsheetml/2009/9/main" objectType="Spin" dx="31" fmlaLink="$G$20" inc="5" max="100" page="10" val="100"/>
</file>

<file path=xl/ctrlProps/ctrlProp12.xml><?xml version="1.0" encoding="utf-8"?>
<formControlPr xmlns="http://schemas.microsoft.com/office/spreadsheetml/2009/9/main" objectType="Spin" dx="31" fmlaLink="$G$21" inc="5" max="100" page="10" val="40"/>
</file>

<file path=xl/ctrlProps/ctrlProp13.xml><?xml version="1.0" encoding="utf-8"?>
<formControlPr xmlns="http://schemas.microsoft.com/office/spreadsheetml/2009/9/main" objectType="Spin" dx="31" fmlaLink="$G$25" inc="5" max="1000" page="10" val="20"/>
</file>

<file path=xl/ctrlProps/ctrlProp14.xml><?xml version="1.0" encoding="utf-8"?>
<formControlPr xmlns="http://schemas.microsoft.com/office/spreadsheetml/2009/9/main" objectType="Spin" dx="31" fmlaLink="$G$26" max="100" page="10" val="15"/>
</file>

<file path=xl/ctrlProps/ctrlProp15.xml><?xml version="1.0" encoding="utf-8"?>
<formControlPr xmlns="http://schemas.microsoft.com/office/spreadsheetml/2009/9/main" objectType="Spin" dx="31" fmlaLink="$G$27" inc="5" max="1000" page="10" val="60"/>
</file>

<file path=xl/ctrlProps/ctrlProp16.xml><?xml version="1.0" encoding="utf-8"?>
<formControlPr xmlns="http://schemas.microsoft.com/office/spreadsheetml/2009/9/main" objectType="Spin" dx="31" fmlaLink="$G$33" max="100" page="10" val="12"/>
</file>

<file path=xl/ctrlProps/ctrlProp17.xml><?xml version="1.0" encoding="utf-8"?>
<formControlPr xmlns="http://schemas.microsoft.com/office/spreadsheetml/2009/9/main" objectType="Spin" dx="31" fmlaLink="$G$31" max="100" page="10" val="35"/>
</file>

<file path=xl/ctrlProps/ctrlProp18.xml><?xml version="1.0" encoding="utf-8"?>
<formControlPr xmlns="http://schemas.microsoft.com/office/spreadsheetml/2009/9/main" objectType="Spin" dx="16" fmlaLink="$C$6" max="100" page="10" val="35"/>
</file>

<file path=xl/ctrlProps/ctrlProp19.xml><?xml version="1.0" encoding="utf-8"?>
<formControlPr xmlns="http://schemas.microsoft.com/office/spreadsheetml/2009/9/main" objectType="Spin" dx="16" fmlaLink="$C$7" max="100" page="10" val="34"/>
</file>

<file path=xl/ctrlProps/ctrlProp2.xml><?xml version="1.0" encoding="utf-8"?>
<formControlPr xmlns="http://schemas.microsoft.com/office/spreadsheetml/2009/9/main" objectType="CheckBox" checked="Checked" fmlaLink="$B$8" lockText="1" noThreeD="1"/>
</file>

<file path=xl/ctrlProps/ctrlProp20.xml><?xml version="1.0" encoding="utf-8"?>
<formControlPr xmlns="http://schemas.microsoft.com/office/spreadsheetml/2009/9/main" objectType="Spin" dx="16" fmlaLink="$C$15" max="100" page="10" val="50"/>
</file>

<file path=xl/ctrlProps/ctrlProp21.xml><?xml version="1.0" encoding="utf-8"?>
<formControlPr xmlns="http://schemas.microsoft.com/office/spreadsheetml/2009/9/main" objectType="Spin" dx="16" fmlaLink="$C$16" max="100" page="10" val="50"/>
</file>

<file path=xl/ctrlProps/ctrlProp3.xml><?xml version="1.0" encoding="utf-8"?>
<formControlPr xmlns="http://schemas.microsoft.com/office/spreadsheetml/2009/9/main" objectType="CheckBox" fmlaLink="$B$9" lockText="1" noThreeD="1"/>
</file>

<file path=xl/ctrlProps/ctrlProp4.xml><?xml version="1.0" encoding="utf-8"?>
<formControlPr xmlns="http://schemas.microsoft.com/office/spreadsheetml/2009/9/main" objectType="CheckBox" fmlaLink="$B$10" lockText="1" noThreeD="1"/>
</file>

<file path=xl/ctrlProps/ctrlProp5.xml><?xml version="1.0" encoding="utf-8"?>
<formControlPr xmlns="http://schemas.microsoft.com/office/spreadsheetml/2009/9/main" objectType="CheckBox" fmlaLink="$B$11" lockText="1" noThreeD="1"/>
</file>

<file path=xl/ctrlProps/ctrlProp6.xml><?xml version="1.0" encoding="utf-8"?>
<formControlPr xmlns="http://schemas.microsoft.com/office/spreadsheetml/2009/9/main" objectType="Spin" dx="31" fmlaLink="$H$8" inc="5" max="100" page="10" val="25"/>
</file>

<file path=xl/ctrlProps/ctrlProp7.xml><?xml version="1.0" encoding="utf-8"?>
<formControlPr xmlns="http://schemas.microsoft.com/office/spreadsheetml/2009/9/main" objectType="Spin" dx="31" fmlaLink="$E$14" max="2040" min="2018" page="10" val="2022"/>
</file>

<file path=xl/ctrlProps/ctrlProp8.xml><?xml version="1.0" encoding="utf-8"?>
<formControlPr xmlns="http://schemas.microsoft.com/office/spreadsheetml/2009/9/main" objectType="Spin" dx="31" fmlaLink="$E$15" max="2040" min="2018" page="10" val="2022"/>
</file>

<file path=xl/ctrlProps/ctrlProp9.xml><?xml version="1.0" encoding="utf-8"?>
<formControlPr xmlns="http://schemas.microsoft.com/office/spreadsheetml/2009/9/main" objectType="Spin" dx="31" fmlaLink="$E$16" max="2060" min="2028" page="10" val="20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</xdr:row>
          <xdr:rowOff>12700</xdr:rowOff>
        </xdr:from>
        <xdr:to>
          <xdr:col>2</xdr:col>
          <xdr:colOff>12700</xdr:colOff>
          <xdr:row>7</xdr:row>
          <xdr:rowOff>69850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12700</xdr:rowOff>
        </xdr:from>
        <xdr:to>
          <xdr:col>2</xdr:col>
          <xdr:colOff>12700</xdr:colOff>
          <xdr:row>8</xdr:row>
          <xdr:rowOff>69850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12700</xdr:rowOff>
        </xdr:from>
        <xdr:to>
          <xdr:col>2</xdr:col>
          <xdr:colOff>12700</xdr:colOff>
          <xdr:row>9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12700</xdr:rowOff>
        </xdr:from>
        <xdr:to>
          <xdr:col>2</xdr:col>
          <xdr:colOff>12700</xdr:colOff>
          <xdr:row>10</xdr:row>
          <xdr:rowOff>69850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10</xdr:row>
          <xdr:rowOff>12700</xdr:rowOff>
        </xdr:from>
        <xdr:to>
          <xdr:col>2</xdr:col>
          <xdr:colOff>12700</xdr:colOff>
          <xdr:row>11</xdr:row>
          <xdr:rowOff>69850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</xdr:row>
          <xdr:rowOff>12700</xdr:rowOff>
        </xdr:from>
        <xdr:to>
          <xdr:col>7</xdr:col>
          <xdr:colOff>184150</xdr:colOff>
          <xdr:row>8</xdr:row>
          <xdr:rowOff>0</xdr:rowOff>
        </xdr:to>
        <xdr:sp macro="" textlink="">
          <xdr:nvSpPr>
            <xdr:cNvPr id="9223" name="Spinner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13</xdr:row>
          <xdr:rowOff>12700</xdr:rowOff>
        </xdr:from>
        <xdr:to>
          <xdr:col>4</xdr:col>
          <xdr:colOff>184150</xdr:colOff>
          <xdr:row>14</xdr:row>
          <xdr:rowOff>0</xdr:rowOff>
        </xdr:to>
        <xdr:sp macro="" textlink="">
          <xdr:nvSpPr>
            <xdr:cNvPr id="9226" name="Spinner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14</xdr:row>
          <xdr:rowOff>12700</xdr:rowOff>
        </xdr:from>
        <xdr:to>
          <xdr:col>4</xdr:col>
          <xdr:colOff>184150</xdr:colOff>
          <xdr:row>15</xdr:row>
          <xdr:rowOff>0</xdr:rowOff>
        </xdr:to>
        <xdr:sp macro="" textlink="">
          <xdr:nvSpPr>
            <xdr:cNvPr id="9227" name="Spinner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15</xdr:row>
          <xdr:rowOff>12700</xdr:rowOff>
        </xdr:from>
        <xdr:to>
          <xdr:col>4</xdr:col>
          <xdr:colOff>184150</xdr:colOff>
          <xdr:row>16</xdr:row>
          <xdr:rowOff>0</xdr:rowOff>
        </xdr:to>
        <xdr:sp macro="" textlink="">
          <xdr:nvSpPr>
            <xdr:cNvPr id="9228" name="Spinner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</xdr:row>
          <xdr:rowOff>12700</xdr:rowOff>
        </xdr:from>
        <xdr:to>
          <xdr:col>6</xdr:col>
          <xdr:colOff>184150</xdr:colOff>
          <xdr:row>19</xdr:row>
          <xdr:rowOff>0</xdr:rowOff>
        </xdr:to>
        <xdr:sp macro="" textlink="">
          <xdr:nvSpPr>
            <xdr:cNvPr id="9230" name="Spinner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12700</xdr:rowOff>
        </xdr:from>
        <xdr:to>
          <xdr:col>6</xdr:col>
          <xdr:colOff>184150</xdr:colOff>
          <xdr:row>20</xdr:row>
          <xdr:rowOff>0</xdr:rowOff>
        </xdr:to>
        <xdr:sp macro="" textlink="">
          <xdr:nvSpPr>
            <xdr:cNvPr id="9231" name="Spinner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12700</xdr:rowOff>
        </xdr:from>
        <xdr:to>
          <xdr:col>6</xdr:col>
          <xdr:colOff>184150</xdr:colOff>
          <xdr:row>21</xdr:row>
          <xdr:rowOff>0</xdr:rowOff>
        </xdr:to>
        <xdr:sp macro="" textlink="">
          <xdr:nvSpPr>
            <xdr:cNvPr id="9232" name="Spinner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12700</xdr:rowOff>
        </xdr:from>
        <xdr:to>
          <xdr:col>6</xdr:col>
          <xdr:colOff>184150</xdr:colOff>
          <xdr:row>25</xdr:row>
          <xdr:rowOff>0</xdr:rowOff>
        </xdr:to>
        <xdr:sp macro="" textlink="">
          <xdr:nvSpPr>
            <xdr:cNvPr id="9233" name="Spinner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12700</xdr:rowOff>
        </xdr:from>
        <xdr:to>
          <xdr:col>6</xdr:col>
          <xdr:colOff>184150</xdr:colOff>
          <xdr:row>26</xdr:row>
          <xdr:rowOff>0</xdr:rowOff>
        </xdr:to>
        <xdr:sp macro="" textlink="">
          <xdr:nvSpPr>
            <xdr:cNvPr id="9234" name="Spinner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12700</xdr:rowOff>
        </xdr:from>
        <xdr:to>
          <xdr:col>6</xdr:col>
          <xdr:colOff>184150</xdr:colOff>
          <xdr:row>27</xdr:row>
          <xdr:rowOff>0</xdr:rowOff>
        </xdr:to>
        <xdr:sp macro="" textlink="">
          <xdr:nvSpPr>
            <xdr:cNvPr id="9235" name="Spinner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12700</xdr:rowOff>
        </xdr:from>
        <xdr:to>
          <xdr:col>6</xdr:col>
          <xdr:colOff>184150</xdr:colOff>
          <xdr:row>32</xdr:row>
          <xdr:rowOff>184150</xdr:rowOff>
        </xdr:to>
        <xdr:sp macro="" textlink="">
          <xdr:nvSpPr>
            <xdr:cNvPr id="9236" name="Spinner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165100</xdr:colOff>
      <xdr:row>8</xdr:row>
      <xdr:rowOff>107950</xdr:rowOff>
    </xdr:from>
    <xdr:to>
      <xdr:col>7</xdr:col>
      <xdr:colOff>184150</xdr:colOff>
      <xdr:row>11</xdr:row>
      <xdr:rowOff>127000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0" y="1263650"/>
          <a:ext cx="1200150" cy="571500"/>
        </a:xfrm>
        <a:prstGeom prst="wedgeRectCallout">
          <a:avLst>
            <a:gd name="adj1" fmla="val 20621"/>
            <a:gd name="adj2" fmla="val -647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Percentage of B</a:t>
          </a:r>
          <a:r>
            <a:rPr kumimoji="1" lang="en-US" altLang="ja-JP" sz="1000" baseline="0"/>
            <a:t> patients with the background of A</a:t>
          </a:r>
          <a:endParaRPr kumimoji="1" lang="ja-JP" altLang="en-US" sz="1000"/>
        </a:p>
      </xdr:txBody>
    </xdr:sp>
    <xdr:clientData/>
  </xdr:twoCellAnchor>
  <xdr:twoCellAnchor>
    <xdr:from>
      <xdr:col>8</xdr:col>
      <xdr:colOff>577850</xdr:colOff>
      <xdr:row>1</xdr:row>
      <xdr:rowOff>152400</xdr:rowOff>
    </xdr:from>
    <xdr:to>
      <xdr:col>26</xdr:col>
      <xdr:colOff>107949</xdr:colOff>
      <xdr:row>16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12700</xdr:rowOff>
        </xdr:from>
        <xdr:to>
          <xdr:col>6</xdr:col>
          <xdr:colOff>184150</xdr:colOff>
          <xdr:row>31</xdr:row>
          <xdr:rowOff>0</xdr:rowOff>
        </xdr:to>
        <xdr:sp macro="" textlink="">
          <xdr:nvSpPr>
            <xdr:cNvPr id="9238" name="Spinner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527050</xdr:colOff>
      <xdr:row>29</xdr:row>
      <xdr:rowOff>31750</xdr:rowOff>
    </xdr:from>
    <xdr:to>
      <xdr:col>11</xdr:col>
      <xdr:colOff>393700</xdr:colOff>
      <xdr:row>32</xdr:row>
      <xdr:rowOff>190500</xdr:rowOff>
    </xdr:to>
    <xdr:sp macro="" textlink="">
      <xdr:nvSpPr>
        <xdr:cNvPr id="4" name="四角形: 1 つの角を切り取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11700" y="5600700"/>
          <a:ext cx="1695450" cy="711200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Instruction: 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Change the yellow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cells to operate the model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0.00689</cdr:x>
      <cdr:y>0.0162</cdr:y>
    </cdr:from>
    <cdr:to>
      <cdr:x>0.09962</cdr:x>
      <cdr:y>0.10648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113347-A555-44BA-916F-F2240B50281F}"/>
            </a:ext>
          </a:extLst>
        </cdr:cNvPr>
        <cdr:cNvSpPr txBox="1"/>
      </cdr:nvSpPr>
      <cdr:spPr>
        <a:xfrm xmlns:a="http://schemas.openxmlformats.org/drawingml/2006/main">
          <a:off x="69850" y="44450"/>
          <a:ext cx="9398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million</a:t>
          </a:r>
          <a:r>
            <a:rPr lang="en-US" altLang="ja-JP" sz="1100" baseline="0"/>
            <a:t> JPY</a:t>
          </a:r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5</xdr:row>
          <xdr:rowOff>19050</xdr:rowOff>
        </xdr:from>
        <xdr:to>
          <xdr:col>2</xdr:col>
          <xdr:colOff>209550</xdr:colOff>
          <xdr:row>6</xdr:row>
          <xdr:rowOff>0</xdr:rowOff>
        </xdr:to>
        <xdr:sp macro="" textlink="">
          <xdr:nvSpPr>
            <xdr:cNvPr id="8193" name="Spinne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</xdr:row>
          <xdr:rowOff>19050</xdr:rowOff>
        </xdr:from>
        <xdr:to>
          <xdr:col>2</xdr:col>
          <xdr:colOff>209550</xdr:colOff>
          <xdr:row>7</xdr:row>
          <xdr:rowOff>0</xdr:rowOff>
        </xdr:to>
        <xdr:sp macro="" textlink="">
          <xdr:nvSpPr>
            <xdr:cNvPr id="8194" name="Spinne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304800</xdr:colOff>
      <xdr:row>5</xdr:row>
      <xdr:rowOff>0</xdr:rowOff>
    </xdr:from>
    <xdr:to>
      <xdr:col>18</xdr:col>
      <xdr:colOff>0</xdr:colOff>
      <xdr:row>21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19050</xdr:rowOff>
        </xdr:from>
        <xdr:to>
          <xdr:col>2</xdr:col>
          <xdr:colOff>209550</xdr:colOff>
          <xdr:row>15</xdr:row>
          <xdr:rowOff>0</xdr:rowOff>
        </xdr:to>
        <xdr:sp macro="" textlink="">
          <xdr:nvSpPr>
            <xdr:cNvPr id="8195" name="Spinne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15</xdr:row>
          <xdr:rowOff>19050</xdr:rowOff>
        </xdr:from>
        <xdr:to>
          <xdr:col>2</xdr:col>
          <xdr:colOff>209550</xdr:colOff>
          <xdr:row>16</xdr:row>
          <xdr:rowOff>0</xdr:rowOff>
        </xdr:to>
        <xdr:sp macro="" textlink="">
          <xdr:nvSpPr>
            <xdr:cNvPr id="8196" name="Spinner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590550</xdr:colOff>
      <xdr:row>11</xdr:row>
      <xdr:rowOff>107950</xdr:rowOff>
    </xdr:from>
    <xdr:to>
      <xdr:col>12</xdr:col>
      <xdr:colOff>285750</xdr:colOff>
      <xdr:row>27</xdr:row>
      <xdr:rowOff>174625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81;&#12540;&#12512;&#12489;&#12521;&#12452;&#12502;/e-Projection/3.%20Client%20Files/Aquinox/Forecast%20Mode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313132\Documents\MLN1202\DN\140826%20MLN1202%20DN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Forecast model"/>
      <sheetName val="Population Assumption"/>
      <sheetName val="General Population forecast"/>
      <sheetName val="Clearview model analysis"/>
      <sheetName val="Curves"/>
      <sheetName val="SG&amp;A (Kissei case)"/>
      <sheetName val="SG&amp;A (Astellas case)"/>
    </sheetNames>
    <sheetDataSet>
      <sheetData sheetId="0">
        <row r="9">
          <cell r="F9">
            <v>2024</v>
          </cell>
          <cell r="I9">
            <v>2023.125</v>
          </cell>
        </row>
        <row r="10">
          <cell r="F10">
            <v>2032</v>
          </cell>
          <cell r="I10">
            <v>2031.125</v>
          </cell>
        </row>
        <row r="20">
          <cell r="G20">
            <v>3879</v>
          </cell>
        </row>
        <row r="21">
          <cell r="G21">
            <v>0</v>
          </cell>
        </row>
      </sheetData>
      <sheetData sheetId="1"/>
      <sheetData sheetId="2"/>
      <sheetData sheetId="3"/>
      <sheetData sheetId="4"/>
      <sheetData sheetId="5">
        <row r="3">
          <cell r="B3">
            <v>0</v>
          </cell>
        </row>
        <row r="6">
          <cell r="B6">
            <v>0.35</v>
          </cell>
        </row>
        <row r="7">
          <cell r="B7">
            <v>0.34</v>
          </cell>
        </row>
        <row r="15">
          <cell r="B15">
            <v>0.5</v>
          </cell>
        </row>
        <row r="16">
          <cell r="B16">
            <v>0.5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Price assumptions"/>
      <sheetName val="United States"/>
      <sheetName val="France"/>
      <sheetName val="Germany"/>
      <sheetName val="Italy"/>
      <sheetName val="Spain"/>
      <sheetName val="United Kingdom"/>
      <sheetName val="Japan"/>
      <sheetName val="Population and migration"/>
      <sheetName val="T2DM population"/>
      <sheetName val="EU5"/>
      <sheetName val="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C18">
            <v>0.19</v>
          </cell>
        </row>
        <row r="21">
          <cell r="C21">
            <v>0.4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B33"/>
  <sheetViews>
    <sheetView showGridLines="0" showRowColHeaders="0" tabSelected="1" zoomScaleNormal="100" workbookViewId="0">
      <selection activeCell="O30" sqref="O30"/>
    </sheetView>
  </sheetViews>
  <sheetFormatPr defaultRowHeight="14.5"/>
  <cols>
    <col min="1" max="2" width="2.81640625" customWidth="1"/>
    <col min="3" max="3" width="11.54296875" customWidth="1"/>
    <col min="5" max="6" width="8.1796875" customWidth="1"/>
    <col min="13" max="13" width="2.1796875" customWidth="1"/>
    <col min="14" max="14" width="10" bestFit="1" customWidth="1"/>
  </cols>
  <sheetData>
    <row r="2" spans="2:28" ht="22" thickBot="1">
      <c r="B2" s="76" t="str">
        <f ca="1">MID(CELL("filename",A1),FIND("[",CELL("filename",A1))+1,FIND(".x",CELL("filename",A1))-FIND("[",CELL("filename",A1))-1)</f>
        <v>Product X valuation model v1_0</v>
      </c>
      <c r="C2" s="76"/>
      <c r="D2" s="76"/>
      <c r="E2" s="76"/>
      <c r="F2" s="76"/>
      <c r="G2" s="76"/>
      <c r="H2" s="76"/>
    </row>
    <row r="3" spans="2:28" ht="19" thickTop="1" thickBot="1">
      <c r="B3" s="77" t="s">
        <v>152</v>
      </c>
      <c r="C3" s="77"/>
      <c r="D3" s="77"/>
      <c r="E3" s="77"/>
      <c r="F3" s="77"/>
      <c r="G3" s="77"/>
      <c r="H3" s="77"/>
    </row>
    <row r="4" spans="2:28" ht="18.5" thickTop="1">
      <c r="B4" s="73"/>
      <c r="C4" s="73"/>
      <c r="D4" s="73"/>
      <c r="E4" s="73"/>
      <c r="F4" s="73"/>
      <c r="G4" s="73"/>
      <c r="H4" s="73"/>
    </row>
    <row r="5" spans="2:28" ht="18">
      <c r="B5" s="78" t="s">
        <v>151</v>
      </c>
      <c r="C5" s="78"/>
      <c r="D5" s="78"/>
      <c r="E5" s="78"/>
      <c r="F5" s="78"/>
      <c r="G5" s="78"/>
      <c r="H5" s="78"/>
    </row>
    <row r="6" spans="2:28" ht="18.5" thickBot="1">
      <c r="B6" s="16" t="s">
        <v>75</v>
      </c>
      <c r="C6" s="16"/>
      <c r="D6" s="16"/>
      <c r="E6" s="16"/>
      <c r="F6" s="16"/>
      <c r="G6" s="16"/>
      <c r="H6" s="16"/>
    </row>
    <row r="7" spans="2:28">
      <c r="B7" s="71" t="b">
        <v>1</v>
      </c>
      <c r="C7" s="8" t="s">
        <v>161</v>
      </c>
      <c r="F7" s="49">
        <f>B7*1</f>
        <v>1</v>
      </c>
    </row>
    <row r="8" spans="2:28">
      <c r="B8" s="71" t="b">
        <v>1</v>
      </c>
      <c r="C8" s="8" t="s">
        <v>167</v>
      </c>
      <c r="F8" s="49">
        <f>B8*G$8</f>
        <v>0.25</v>
      </c>
      <c r="G8" s="66">
        <f>H8/100</f>
        <v>0.25</v>
      </c>
      <c r="H8" s="50">
        <v>25</v>
      </c>
    </row>
    <row r="9" spans="2:28">
      <c r="B9" s="71" t="b">
        <v>0</v>
      </c>
      <c r="C9" s="8" t="s">
        <v>168</v>
      </c>
      <c r="F9" s="49">
        <f>B9*(1-G$8)</f>
        <v>0</v>
      </c>
    </row>
    <row r="10" spans="2:28">
      <c r="B10" s="71" t="b">
        <v>0</v>
      </c>
      <c r="C10" s="8" t="s">
        <v>169</v>
      </c>
      <c r="F10" s="49">
        <f>B10*1</f>
        <v>0</v>
      </c>
    </row>
    <row r="11" spans="2:28">
      <c r="B11" s="71" t="b">
        <v>0</v>
      </c>
      <c r="C11" s="8" t="s">
        <v>172</v>
      </c>
      <c r="F11" s="49">
        <f>B11*1</f>
        <v>0</v>
      </c>
    </row>
    <row r="13" spans="2:28" ht="18.5" thickBot="1">
      <c r="B13" s="16" t="s">
        <v>76</v>
      </c>
      <c r="C13" s="16"/>
      <c r="D13" s="16"/>
      <c r="E13" s="16" t="s">
        <v>74</v>
      </c>
      <c r="F13" s="16" t="s">
        <v>84</v>
      </c>
      <c r="G13" s="16"/>
      <c r="H13" s="16"/>
      <c r="AB13" s="29"/>
    </row>
    <row r="14" spans="2:28">
      <c r="C14" s="8" t="s">
        <v>88</v>
      </c>
      <c r="E14" s="67">
        <v>2022</v>
      </c>
      <c r="F14" s="67">
        <v>3</v>
      </c>
      <c r="G14" s="50">
        <f>E14-1+(F14-0.5)/4</f>
        <v>2021.625</v>
      </c>
    </row>
    <row r="15" spans="2:28">
      <c r="C15" s="8" t="s">
        <v>153</v>
      </c>
      <c r="E15" s="67">
        <v>2022</v>
      </c>
      <c r="F15" s="67">
        <v>1</v>
      </c>
      <c r="G15" s="50">
        <f>E15-1+(F15-0.5)/4</f>
        <v>2021.125</v>
      </c>
    </row>
    <row r="16" spans="2:28">
      <c r="C16" s="8" t="s">
        <v>85</v>
      </c>
      <c r="E16" s="67">
        <v>2032</v>
      </c>
      <c r="F16" s="67">
        <v>1</v>
      </c>
      <c r="G16" s="50">
        <f>E16-1+(F16-0.5)/4</f>
        <v>2031.125</v>
      </c>
    </row>
    <row r="18" spans="2:15" ht="18.5" thickBot="1">
      <c r="B18" s="16" t="s">
        <v>86</v>
      </c>
      <c r="C18" s="16"/>
      <c r="D18" s="16"/>
      <c r="E18" s="16"/>
      <c r="F18" s="16"/>
      <c r="G18" s="16"/>
      <c r="H18" s="16"/>
      <c r="J18" s="16" t="s">
        <v>145</v>
      </c>
      <c r="K18" s="16"/>
    </row>
    <row r="19" spans="2:15">
      <c r="C19" s="8" t="s">
        <v>87</v>
      </c>
      <c r="F19" s="66">
        <f>G19/100</f>
        <v>0.5</v>
      </c>
      <c r="G19" s="50">
        <v>50</v>
      </c>
      <c r="J19" s="59" t="s">
        <v>146</v>
      </c>
      <c r="K19" s="60"/>
      <c r="L19" s="72">
        <f>'Forecast Table'!C30</f>
        <v>-474.08056786197449</v>
      </c>
      <c r="N19" s="54" t="s">
        <v>148</v>
      </c>
      <c r="O19" s="65">
        <f>INDEX('Forecast Table'!H1:AC1,MATCH(0,'Forecast Table'!H25:AC25,1)+1)</f>
        <v>2024</v>
      </c>
    </row>
    <row r="20" spans="2:15">
      <c r="C20" s="8" t="s">
        <v>154</v>
      </c>
      <c r="F20" s="66">
        <f t="shared" ref="F20:F21" si="0">G20/100</f>
        <v>1</v>
      </c>
      <c r="G20" s="50">
        <v>100</v>
      </c>
      <c r="J20" s="55" t="s">
        <v>142</v>
      </c>
      <c r="K20" s="61"/>
      <c r="L20" s="52">
        <f>'Forecast Table'!C32</f>
        <v>8.7496527156056159E-2</v>
      </c>
      <c r="N20" s="57" t="s">
        <v>150</v>
      </c>
      <c r="O20" s="64">
        <f>INDEX('Forecast Table'!H1:AC1,MATCH(0,'Forecast Table'!H26:AC26,1)+1)</f>
        <v>2030</v>
      </c>
    </row>
    <row r="21" spans="2:15">
      <c r="C21" s="8" t="s">
        <v>89</v>
      </c>
      <c r="F21" s="66">
        <f t="shared" si="0"/>
        <v>0.4</v>
      </c>
      <c r="G21" s="50">
        <v>40</v>
      </c>
      <c r="J21" s="56" t="s">
        <v>147</v>
      </c>
      <c r="K21" s="62"/>
      <c r="L21" s="53">
        <f>MAX('Forecast Table'!H14:AC14)</f>
        <v>2185.6754492868072</v>
      </c>
    </row>
    <row r="22" spans="2:15">
      <c r="J22" s="57"/>
      <c r="K22" s="63"/>
      <c r="L22" s="51" t="str">
        <f>"@"&amp;SUMIF('Forecast Table'!14:14,L21,'Forecast Table'!1:1)</f>
        <v>@2029</v>
      </c>
    </row>
    <row r="23" spans="2:15" ht="18.5" thickBot="1">
      <c r="B23" s="16" t="s">
        <v>98</v>
      </c>
      <c r="C23" s="16"/>
      <c r="D23" s="16"/>
      <c r="E23" s="16"/>
      <c r="F23" s="16"/>
      <c r="G23" s="16"/>
      <c r="H23" s="16"/>
    </row>
    <row r="24" spans="2:15">
      <c r="C24" s="8" t="s">
        <v>92</v>
      </c>
      <c r="F24" s="68">
        <v>15000</v>
      </c>
    </row>
    <row r="25" spans="2:15">
      <c r="C25" s="8" t="s">
        <v>95</v>
      </c>
      <c r="F25" s="69">
        <f>G25/1000</f>
        <v>0.02</v>
      </c>
      <c r="G25" s="50">
        <v>20</v>
      </c>
    </row>
    <row r="26" spans="2:15">
      <c r="C26" s="8" t="s">
        <v>93</v>
      </c>
      <c r="F26" s="70">
        <f>G26/100</f>
        <v>0.15</v>
      </c>
      <c r="G26" s="50">
        <v>15</v>
      </c>
    </row>
    <row r="27" spans="2:15">
      <c r="C27" s="8" t="s">
        <v>94</v>
      </c>
      <c r="F27" s="69">
        <f>G27/1000</f>
        <v>0.06</v>
      </c>
      <c r="G27" s="50">
        <v>60</v>
      </c>
    </row>
    <row r="29" spans="2:15" ht="18.5" thickBot="1">
      <c r="B29" s="16" t="s">
        <v>99</v>
      </c>
      <c r="C29" s="16"/>
      <c r="D29" s="16"/>
      <c r="E29" s="16"/>
      <c r="F29" s="16"/>
      <c r="G29" s="16"/>
      <c r="H29" s="16"/>
    </row>
    <row r="30" spans="2:15">
      <c r="C30" s="8" t="s">
        <v>100</v>
      </c>
      <c r="F30" s="68">
        <v>900</v>
      </c>
    </row>
    <row r="31" spans="2:15">
      <c r="C31" s="8" t="s">
        <v>140</v>
      </c>
      <c r="F31" s="70">
        <f>G31/100</f>
        <v>0.35</v>
      </c>
      <c r="G31" s="50">
        <v>35</v>
      </c>
    </row>
    <row r="33" spans="2:7" ht="18.5" thickBot="1">
      <c r="B33" s="16" t="s">
        <v>136</v>
      </c>
      <c r="C33" s="16"/>
      <c r="D33" s="16"/>
      <c r="E33" s="16"/>
      <c r="F33" s="70">
        <f>G33/100</f>
        <v>0.12</v>
      </c>
      <c r="G33" s="50">
        <v>12</v>
      </c>
    </row>
  </sheetData>
  <mergeCells count="3">
    <mergeCell ref="B2:H2"/>
    <mergeCell ref="B3:H3"/>
    <mergeCell ref="B5:H5"/>
  </mergeCells>
  <phoneticPr fontId="5"/>
  <dataValidations count="1">
    <dataValidation type="list" allowBlank="1" showInputMessage="1" showErrorMessage="1" sqref="F14:F16" xr:uid="{00000000-0002-0000-0000-000000000000}">
      <formula1>"1,2,3,4"</formula1>
    </dataValidation>
  </dataValidations>
  <pageMargins left="0.7" right="0.7" top="0.75" bottom="0.75" header="0.3" footer="0.3"/>
  <ignoredErrors>
    <ignoredError sqref="F26" formula="1"/>
    <ignoredError sqref="O19:O20" formulaRang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6</xdr:row>
                    <xdr:rowOff>12700</xdr:rowOff>
                  </from>
                  <to>
                    <xdr:col>2</xdr:col>
                    <xdr:colOff>12700</xdr:colOff>
                    <xdr:row>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7</xdr:row>
                    <xdr:rowOff>12700</xdr:rowOff>
                  </from>
                  <to>
                    <xdr:col>2</xdr:col>
                    <xdr:colOff>12700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12700</xdr:rowOff>
                  </from>
                  <to>
                    <xdr:col>2</xdr:col>
                    <xdr:colOff>12700</xdr:colOff>
                    <xdr:row>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12700</xdr:rowOff>
                  </from>
                  <to>
                    <xdr:col>2</xdr:col>
                    <xdr:colOff>12700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10</xdr:row>
                    <xdr:rowOff>12700</xdr:rowOff>
                  </from>
                  <to>
                    <xdr:col>2</xdr:col>
                    <xdr:colOff>12700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Spinner 7">
              <controlPr defaultSize="0" autoPict="0">
                <anchor moveWithCells="1" sizeWithCells="1">
                  <from>
                    <xdr:col>7</xdr:col>
                    <xdr:colOff>0</xdr:colOff>
                    <xdr:row>7</xdr:row>
                    <xdr:rowOff>12700</xdr:rowOff>
                  </from>
                  <to>
                    <xdr:col>7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9" name="Spinner 10">
              <controlPr defaultSize="0" autoPict="0">
                <anchor moveWithCells="1" sizeWithCells="1">
                  <from>
                    <xdr:col>4</xdr:col>
                    <xdr:colOff>0</xdr:colOff>
                    <xdr:row>13</xdr:row>
                    <xdr:rowOff>12700</xdr:rowOff>
                  </from>
                  <to>
                    <xdr:col>4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0" name="Spinner 11">
              <controlPr defaultSize="0" autoPict="0">
                <anchor moveWithCells="1" sizeWithCells="1">
                  <from>
                    <xdr:col>4</xdr:col>
                    <xdr:colOff>0</xdr:colOff>
                    <xdr:row>14</xdr:row>
                    <xdr:rowOff>12700</xdr:rowOff>
                  </from>
                  <to>
                    <xdr:col>4</xdr:col>
                    <xdr:colOff>184150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1" name="Spinner 12">
              <controlPr defaultSize="0" autoPict="0">
                <anchor moveWithCells="1" sizeWithCells="1">
                  <from>
                    <xdr:col>4</xdr:col>
                    <xdr:colOff>0</xdr:colOff>
                    <xdr:row>15</xdr:row>
                    <xdr:rowOff>12700</xdr:rowOff>
                  </from>
                  <to>
                    <xdr:col>4</xdr:col>
                    <xdr:colOff>184150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2" name="Spinner 14">
              <controlPr defaultSize="0" autoPict="0">
                <anchor moveWithCells="1" sizeWithCells="1">
                  <from>
                    <xdr:col>6</xdr:col>
                    <xdr:colOff>0</xdr:colOff>
                    <xdr:row>18</xdr:row>
                    <xdr:rowOff>12700</xdr:rowOff>
                  </from>
                  <to>
                    <xdr:col>6</xdr:col>
                    <xdr:colOff>184150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3" name="Spinner 15">
              <controlPr defaultSize="0" autoPict="0">
                <anchor moveWithCells="1" sizeWithCells="1">
                  <from>
                    <xdr:col>6</xdr:col>
                    <xdr:colOff>0</xdr:colOff>
                    <xdr:row>19</xdr:row>
                    <xdr:rowOff>12700</xdr:rowOff>
                  </from>
                  <to>
                    <xdr:col>6</xdr:col>
                    <xdr:colOff>184150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4" name="Spinner 16">
              <controlPr defaultSize="0" autoPict="0">
                <anchor moveWithCells="1" sizeWithCells="1">
                  <from>
                    <xdr:col>6</xdr:col>
                    <xdr:colOff>0</xdr:colOff>
                    <xdr:row>20</xdr:row>
                    <xdr:rowOff>12700</xdr:rowOff>
                  </from>
                  <to>
                    <xdr:col>6</xdr:col>
                    <xdr:colOff>184150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5" name="Spinner 17">
              <controlPr defaultSize="0" autoPict="0">
                <anchor moveWithCells="1" sizeWithCells="1">
                  <from>
                    <xdr:col>6</xdr:col>
                    <xdr:colOff>0</xdr:colOff>
                    <xdr:row>24</xdr:row>
                    <xdr:rowOff>12700</xdr:rowOff>
                  </from>
                  <to>
                    <xdr:col>6</xdr:col>
                    <xdr:colOff>184150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6" name="Spinner 18">
              <controlPr defaultSize="0" autoPict="0">
                <anchor moveWithCells="1" sizeWithCells="1">
                  <from>
                    <xdr:col>6</xdr:col>
                    <xdr:colOff>0</xdr:colOff>
                    <xdr:row>25</xdr:row>
                    <xdr:rowOff>12700</xdr:rowOff>
                  </from>
                  <to>
                    <xdr:col>6</xdr:col>
                    <xdr:colOff>184150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7" name="Spinner 19">
              <controlPr defaultSize="0" autoPict="0">
                <anchor moveWithCells="1" sizeWithCells="1">
                  <from>
                    <xdr:col>6</xdr:col>
                    <xdr:colOff>0</xdr:colOff>
                    <xdr:row>26</xdr:row>
                    <xdr:rowOff>12700</xdr:rowOff>
                  </from>
                  <to>
                    <xdr:col>6</xdr:col>
                    <xdr:colOff>184150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8" name="Spinner 20">
              <controlPr defaultSize="0" autoPict="0">
                <anchor moveWithCells="1" sizeWithCells="1">
                  <from>
                    <xdr:col>6</xdr:col>
                    <xdr:colOff>0</xdr:colOff>
                    <xdr:row>32</xdr:row>
                    <xdr:rowOff>12700</xdr:rowOff>
                  </from>
                  <to>
                    <xdr:col>6</xdr:col>
                    <xdr:colOff>184150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19" name="Spinner 22">
              <controlPr defaultSize="0" autoPict="0">
                <anchor moveWithCells="1" sizeWithCells="1">
                  <from>
                    <xdr:col>6</xdr:col>
                    <xdr:colOff>0</xdr:colOff>
                    <xdr:row>30</xdr:row>
                    <xdr:rowOff>12700</xdr:rowOff>
                  </from>
                  <to>
                    <xdr:col>6</xdr:col>
                    <xdr:colOff>184150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32"/>
  <sheetViews>
    <sheetView topLeftCell="A14" workbookViewId="0">
      <selection activeCell="L19" sqref="L19"/>
    </sheetView>
  </sheetViews>
  <sheetFormatPr defaultRowHeight="14.5"/>
  <cols>
    <col min="3" max="3" width="10.1796875" bestFit="1" customWidth="1"/>
    <col min="4" max="29" width="9.1796875" customWidth="1"/>
  </cols>
  <sheetData>
    <row r="1" spans="1:29" ht="18.5" thickBot="1">
      <c r="A1" s="16"/>
      <c r="B1" s="16" t="s">
        <v>74</v>
      </c>
      <c r="C1" s="16"/>
      <c r="D1" s="15">
        <v>2015</v>
      </c>
      <c r="E1" s="15">
        <v>2016</v>
      </c>
      <c r="F1" s="15">
        <v>2017</v>
      </c>
      <c r="G1" s="15">
        <v>2018</v>
      </c>
      <c r="H1" s="15">
        <v>2019</v>
      </c>
      <c r="I1" s="15">
        <v>2020</v>
      </c>
      <c r="J1" s="15">
        <v>2021</v>
      </c>
      <c r="K1" s="15">
        <v>2022</v>
      </c>
      <c r="L1" s="15">
        <v>2023</v>
      </c>
      <c r="M1" s="15">
        <v>2024</v>
      </c>
      <c r="N1" s="15">
        <v>2025</v>
      </c>
      <c r="O1" s="15">
        <v>2026</v>
      </c>
      <c r="P1" s="15">
        <v>2027</v>
      </c>
      <c r="Q1" s="15">
        <v>2028</v>
      </c>
      <c r="R1" s="15">
        <v>2029</v>
      </c>
      <c r="S1" s="15">
        <v>2030</v>
      </c>
      <c r="T1" s="15">
        <v>2031</v>
      </c>
      <c r="U1" s="15">
        <v>2032</v>
      </c>
      <c r="V1" s="15">
        <v>2033</v>
      </c>
      <c r="W1" s="15">
        <v>2034</v>
      </c>
      <c r="X1" s="15">
        <v>2035</v>
      </c>
      <c r="Y1" s="15">
        <v>2036</v>
      </c>
      <c r="Z1" s="15">
        <v>2037</v>
      </c>
      <c r="AA1" s="15">
        <v>2038</v>
      </c>
      <c r="AB1" s="15">
        <v>2039</v>
      </c>
      <c r="AC1" s="15">
        <v>2040</v>
      </c>
    </row>
    <row r="2" spans="1:29">
      <c r="A2" s="8" t="s">
        <v>96</v>
      </c>
    </row>
    <row r="3" spans="1:29">
      <c r="B3" s="8" t="s">
        <v>175</v>
      </c>
      <c r="D3" s="10">
        <f>'Disease forecast'!C45*'Control Panel'!$F7+'Disease forecast'!C57*'Control Panel'!$F8+'Disease forecast'!C57*'Control Panel'!$F9+'Disease forecast'!C69*'Control Panel'!$F10+'Disease forecast'!C81*'Control Panel'!$F11</f>
        <v>278.32378499999999</v>
      </c>
      <c r="E3" s="10">
        <f>'Disease forecast'!D45*'Control Panel'!$F7+'Disease forecast'!D57*'Control Panel'!$F8+'Disease forecast'!D57*'Control Panel'!$F9+'Disease forecast'!D69*'Control Panel'!$F10+'Disease forecast'!D81*'Control Panel'!$F11</f>
        <v>284.22916115130948</v>
      </c>
      <c r="F3" s="10">
        <f>'Disease forecast'!E45*'Control Panel'!$F7+'Disease forecast'!E57*'Control Panel'!$F8+'Disease forecast'!E57*'Control Panel'!$F9+'Disease forecast'!E69*'Control Panel'!$F10+'Disease forecast'!E81*'Control Panel'!$F11</f>
        <v>290.07139488795241</v>
      </c>
      <c r="G3" s="10">
        <f>'Disease forecast'!F45*'Control Panel'!$F7+'Disease forecast'!F57*'Control Panel'!$F8+'Disease forecast'!F57*'Control Panel'!$F9+'Disease forecast'!F69*'Control Panel'!$F10+'Disease forecast'!F81*'Control Panel'!$F11</f>
        <v>295.80281857668683</v>
      </c>
      <c r="H3" s="10">
        <f>'Disease forecast'!G45*'Control Panel'!$F7+'Disease forecast'!G57*'Control Panel'!$F8+'Disease forecast'!G57*'Control Panel'!$F9+'Disease forecast'!G69*'Control Panel'!$F10+'Disease forecast'!G81*'Control Panel'!$F11</f>
        <v>301.32053312770432</v>
      </c>
      <c r="I3" s="10">
        <f>'Disease forecast'!H45*'Control Panel'!$F7+'Disease forecast'!H57*'Control Panel'!$F8+'Disease forecast'!H57*'Control Panel'!$F9+'Disease forecast'!H69*'Control Panel'!$F10+'Disease forecast'!H81*'Control Panel'!$F11</f>
        <v>306.61361827705173</v>
      </c>
      <c r="J3" s="10">
        <f>'Disease forecast'!I45*'Control Panel'!$F7+'Disease forecast'!I57*'Control Panel'!$F8+'Disease forecast'!I57*'Control Panel'!$F9+'Disease forecast'!I69*'Control Panel'!$F10+'Disease forecast'!I81*'Control Panel'!$F11</f>
        <v>311.1637932329121</v>
      </c>
      <c r="K3" s="10">
        <f>'Disease forecast'!J45*'Control Panel'!$F7+'Disease forecast'!J57*'Control Panel'!$F8+'Disease forecast'!J57*'Control Panel'!$F9+'Disease forecast'!J69*'Control Panel'!$F10+'Disease forecast'!J81*'Control Panel'!$F11</f>
        <v>315.12899937578436</v>
      </c>
      <c r="L3" s="10">
        <f>'Disease forecast'!K45*'Control Panel'!$F7+'Disease forecast'!K57*'Control Panel'!$F8+'Disease forecast'!K57*'Control Panel'!$F9+'Disease forecast'!K69*'Control Panel'!$F10+'Disease forecast'!K81*'Control Panel'!$F11</f>
        <v>318.77697291355742</v>
      </c>
      <c r="M3" s="10">
        <f>'Disease forecast'!L45*'Control Panel'!$F7+'Disease forecast'!L57*'Control Panel'!$F8+'Disease forecast'!L57*'Control Panel'!$F9+'Disease forecast'!L69*'Control Panel'!$F10+'Disease forecast'!L81*'Control Panel'!$F11</f>
        <v>322.4764763624085</v>
      </c>
      <c r="N3" s="10">
        <f>'Disease forecast'!M45*'Control Panel'!$F7+'Disease forecast'!M57*'Control Panel'!$F8+'Disease forecast'!M57*'Control Panel'!$F9+'Disease forecast'!M69*'Control Panel'!$F10+'Disease forecast'!M81*'Control Panel'!$F11</f>
        <v>326.50259061938084</v>
      </c>
      <c r="O3" s="10">
        <f>'Disease forecast'!N45*'Control Panel'!$F7+'Disease forecast'!N57*'Control Panel'!$F8+'Disease forecast'!N57*'Control Panel'!$F9+'Disease forecast'!N69*'Control Panel'!$F10+'Disease forecast'!N81*'Control Panel'!$F11</f>
        <v>330.05030074411354</v>
      </c>
      <c r="P3" s="10">
        <f>'Disease forecast'!O45*'Control Panel'!$F7+'Disease forecast'!O57*'Control Panel'!$F8+'Disease forecast'!O57*'Control Panel'!$F9+'Disease forecast'!O69*'Control Panel'!$F10+'Disease forecast'!O81*'Control Panel'!$F11</f>
        <v>333.42459330150189</v>
      </c>
      <c r="Q3" s="10">
        <f>'Disease forecast'!P45*'Control Panel'!$F7+'Disease forecast'!P57*'Control Panel'!$F8+'Disease forecast'!P57*'Control Panel'!$F9+'Disease forecast'!P69*'Control Panel'!$F10+'Disease forecast'!P81*'Control Panel'!$F11</f>
        <v>336.66908805801467</v>
      </c>
      <c r="R3" s="10">
        <f>'Disease forecast'!Q45*'Control Panel'!$F7+'Disease forecast'!Q57*'Control Panel'!$F8+'Disease forecast'!Q57*'Control Panel'!$F9+'Disease forecast'!Q69*'Control Panel'!$F10+'Disease forecast'!Q81*'Control Panel'!$F11</f>
        <v>339.79844124783335</v>
      </c>
      <c r="S3" s="10">
        <f>'Disease forecast'!R45*'Control Panel'!$F7+'Disease forecast'!R57*'Control Panel'!$F8+'Disease forecast'!R57*'Control Panel'!$F9+'Disease forecast'!R69*'Control Panel'!$F10+'Disease forecast'!R81*'Control Panel'!$F11</f>
        <v>342.89468562414913</v>
      </c>
      <c r="T3" s="10">
        <f>'Disease forecast'!S45*'Control Panel'!$F7+'Disease forecast'!S57*'Control Panel'!$F8+'Disease forecast'!S57*'Control Panel'!$F9+'Disease forecast'!S69*'Control Panel'!$F10+'Disease forecast'!S81*'Control Panel'!$F11</f>
        <v>345.00114283215487</v>
      </c>
      <c r="U3" s="10">
        <f>'Disease forecast'!T45*'Control Panel'!$F7+'Disease forecast'!T57*'Control Panel'!$F8+'Disease forecast'!T57*'Control Panel'!$F9+'Disease forecast'!T69*'Control Panel'!$F10+'Disease forecast'!T81*'Control Panel'!$F11</f>
        <v>346.78722974624304</v>
      </c>
      <c r="V3" s="10">
        <f>'Disease forecast'!U45*'Control Panel'!$F7+'Disease forecast'!U57*'Control Panel'!$F8+'Disease forecast'!U57*'Control Panel'!$F9+'Disease forecast'!U69*'Control Panel'!$F10+'Disease forecast'!U81*'Control Panel'!$F11</f>
        <v>348.3569886267008</v>
      </c>
      <c r="W3" s="10">
        <f>'Disease forecast'!V45*'Control Panel'!$F7+'Disease forecast'!V57*'Control Panel'!$F8+'Disease forecast'!V57*'Control Panel'!$F9+'Disease forecast'!V69*'Control Panel'!$F10+'Disease forecast'!V81*'Control Panel'!$F11</f>
        <v>349.73754202017255</v>
      </c>
      <c r="X3" s="10">
        <f>'Disease forecast'!W45*'Control Panel'!$F7+'Disease forecast'!W57*'Control Panel'!$F8+'Disease forecast'!W57*'Control Panel'!$F9+'Disease forecast'!W69*'Control Panel'!$F10+'Disease forecast'!W81*'Control Panel'!$F11</f>
        <v>350.98001516720507</v>
      </c>
      <c r="Y3" s="10">
        <f>'Disease forecast'!X45*'Control Panel'!$F7+'Disease forecast'!X57*'Control Panel'!$F8+'Disease forecast'!X57*'Control Panel'!$F9+'Disease forecast'!X69*'Control Panel'!$F10+'Disease forecast'!X81*'Control Panel'!$F11</f>
        <v>350.99933820032868</v>
      </c>
      <c r="Z3" s="10">
        <f>'Disease forecast'!Y45*'Control Panel'!$F7+'Disease forecast'!Y57*'Control Panel'!$F8+'Disease forecast'!Y57*'Control Panel'!$F9+'Disease forecast'!Y69*'Control Panel'!$F10+'Disease forecast'!Y81*'Control Panel'!$F11</f>
        <v>350.46958936074503</v>
      </c>
      <c r="AA3" s="10">
        <f>'Disease forecast'!Z45*'Control Panel'!$F7+'Disease forecast'!Z57*'Control Panel'!$F8+'Disease forecast'!Z57*'Control Panel'!$F9+'Disease forecast'!Z69*'Control Panel'!$F10+'Disease forecast'!Z81*'Control Panel'!$F11</f>
        <v>349.83861276956475</v>
      </c>
      <c r="AB3" s="10">
        <f>'Disease forecast'!AA45*'Control Panel'!$F7+'Disease forecast'!AA57*'Control Panel'!$F8+'Disease forecast'!AA57*'Control Panel'!$F9+'Disease forecast'!AA69*'Control Panel'!$F10+'Disease forecast'!AA81*'Control Panel'!$F11</f>
        <v>349.65072188561271</v>
      </c>
      <c r="AC3" s="10">
        <f>'Disease forecast'!AB45*'Control Panel'!$F7+'Disease forecast'!AB57*'Control Panel'!$F8+'Disease forecast'!AB57*'Control Panel'!$F9+'Disease forecast'!AB69*'Control Panel'!$F10+'Disease forecast'!AB81*'Control Panel'!$F11</f>
        <v>350.27630396913901</v>
      </c>
    </row>
    <row r="4" spans="1:29">
      <c r="B4" s="8"/>
      <c r="C4" s="8"/>
    </row>
    <row r="5" spans="1:29">
      <c r="B5" s="8" t="s">
        <v>176</v>
      </c>
      <c r="C5" s="8"/>
      <c r="D5" s="11">
        <f>D3*D6</f>
        <v>0</v>
      </c>
      <c r="E5" s="11">
        <f t="shared" ref="E5:AC5" si="0">E3*E6</f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20.527450468743101</v>
      </c>
      <c r="L5" s="11">
        <f t="shared" si="0"/>
        <v>70.972296118092629</v>
      </c>
      <c r="M5" s="11">
        <f t="shared" si="0"/>
        <v>109.30009183062988</v>
      </c>
      <c r="N5" s="11">
        <f t="shared" si="0"/>
        <v>134.60915687937475</v>
      </c>
      <c r="O5" s="11">
        <f t="shared" si="0"/>
        <v>149.84889237086659</v>
      </c>
      <c r="P5" s="11">
        <f t="shared" si="0"/>
        <v>158.8447279877999</v>
      </c>
      <c r="Q5" s="11">
        <f t="shared" si="0"/>
        <v>164.30323543458169</v>
      </c>
      <c r="R5" s="11">
        <f t="shared" si="0"/>
        <v>167.84634368968554</v>
      </c>
      <c r="S5" s="11">
        <f t="shared" si="0"/>
        <v>170.40519383234931</v>
      </c>
      <c r="T5" s="11">
        <f t="shared" si="0"/>
        <v>171.97385696625707</v>
      </c>
      <c r="U5" s="11">
        <f t="shared" si="0"/>
        <v>173.1278605058169</v>
      </c>
      <c r="V5" s="11">
        <f t="shared" si="0"/>
        <v>174.04454448601587</v>
      </c>
      <c r="W5" s="11">
        <f t="shared" si="0"/>
        <v>174.80130597867395</v>
      </c>
      <c r="X5" s="11">
        <f t="shared" si="0"/>
        <v>175.45604530485153</v>
      </c>
      <c r="Y5" s="11">
        <f t="shared" si="0"/>
        <v>175.482632686306</v>
      </c>
      <c r="Z5" s="11">
        <f t="shared" si="0"/>
        <v>175.22626231615871</v>
      </c>
      <c r="AA5" s="11">
        <f t="shared" si="0"/>
        <v>174.91327442784939</v>
      </c>
      <c r="AB5" s="11">
        <f t="shared" si="0"/>
        <v>174.81933222550924</v>
      </c>
      <c r="AC5" s="11">
        <f t="shared" si="0"/>
        <v>175.13211248091537</v>
      </c>
    </row>
    <row r="6" spans="1:29">
      <c r="B6" s="8"/>
      <c r="C6" s="8"/>
      <c r="D6" s="12">
        <f>IF(D$1&lt;any_launch_timing,0,HLOOKUP(D$1-any_launch_timing,Curves!$3:$4,2,TRUE))*CT_penetration</f>
        <v>0</v>
      </c>
      <c r="E6" s="12">
        <f>IF(E$1&lt;any_launch_timing,0,HLOOKUP(E$1-any_launch_timing,Curves!$3:$4,2,TRUE))*CT_penetration</f>
        <v>0</v>
      </c>
      <c r="F6" s="12">
        <f>IF(F$1&lt;any_launch_timing,0,HLOOKUP(F$1-any_launch_timing,Curves!$3:$4,2,TRUE))*CT_penetration</f>
        <v>0</v>
      </c>
      <c r="G6" s="12">
        <f>IF(G$1&lt;any_launch_timing,0,HLOOKUP(G$1-any_launch_timing,Curves!$3:$4,2,TRUE))*CT_penetration</f>
        <v>0</v>
      </c>
      <c r="H6" s="12">
        <f>IF(H$1&lt;any_launch_timing,0,HLOOKUP(H$1-any_launch_timing,Curves!$3:$4,2,TRUE))*CT_penetration</f>
        <v>0</v>
      </c>
      <c r="I6" s="12">
        <f>IF(I$1&lt;any_launch_timing,0,HLOOKUP(I$1-any_launch_timing,Curves!$3:$4,2,TRUE))*CT_penetration</f>
        <v>0</v>
      </c>
      <c r="J6" s="12">
        <f>IF(J$1&lt;any_launch_timing,0,HLOOKUP(J$1-any_launch_timing,Curves!$3:$4,2,TRUE))*CT_penetration</f>
        <v>0</v>
      </c>
      <c r="K6" s="12">
        <f>IF(K$1&lt;any_launch_timing,0,HLOOKUP(K$1-any_launch_timing,Curves!$3:$4,2,TRUE))*CT_penetration</f>
        <v>6.5139833241004169E-2</v>
      </c>
      <c r="L6" s="12">
        <f>IF(L$1&lt;any_launch_timing,0,HLOOKUP(L$1-any_launch_timing,Curves!$3:$4,2,TRUE))*CT_penetration</f>
        <v>0.22263934395706228</v>
      </c>
      <c r="M6" s="12">
        <f>IF(M$1&lt;any_launch_timing,0,HLOOKUP(M$1-any_launch_timing,Curves!$3:$4,2,TRUE))*CT_penetration</f>
        <v>0.33893973620511542</v>
      </c>
      <c r="N6" s="12">
        <f>IF(N$1&lt;any_launch_timing,0,HLOOKUP(N$1-any_launch_timing,Curves!$3:$4,2,TRUE))*CT_penetration</f>
        <v>0.41227592290774462</v>
      </c>
      <c r="O6" s="12">
        <f>IF(O$1&lt;any_launch_timing,0,HLOOKUP(O$1-any_launch_timing,Curves!$3:$4,2,TRUE))*CT_penetration</f>
        <v>0.45401834821245551</v>
      </c>
      <c r="P6" s="12">
        <f>IF(P$1&lt;any_launch_timing,0,HLOOKUP(P$1-any_launch_timing,Curves!$3:$4,2,TRUE))*CT_penetration</f>
        <v>0.47640375418907166</v>
      </c>
      <c r="Q6" s="12">
        <f>IF(Q$1&lt;any_launch_timing,0,HLOOKUP(Q$1-any_launch_timing,Curves!$3:$4,2,TRUE))*CT_penetration</f>
        <v>0.48802590217688485</v>
      </c>
      <c r="R6" s="12">
        <f>IF(R$1&lt;any_launch_timing,0,HLOOKUP(R$1-any_launch_timing,Curves!$3:$4,2,TRUE))*CT_penetration</f>
        <v>0.49395854516962351</v>
      </c>
      <c r="S6" s="12">
        <f>IF(S$1&lt;any_launch_timing,0,HLOOKUP(S$1-any_launch_timing,Curves!$3:$4,2,TRUE))*CT_penetration</f>
        <v>0.49696073160822452</v>
      </c>
      <c r="T6" s="12">
        <f>IF(T$1&lt;any_launch_timing,0,HLOOKUP(T$1-any_launch_timing,Curves!$3:$4,2,TRUE))*CT_penetration</f>
        <v>0.49847329650708833</v>
      </c>
      <c r="U6" s="12">
        <f>IF(U$1&lt;any_launch_timing,0,HLOOKUP(U$1-any_launch_timing,Curves!$3:$4,2,TRUE))*CT_penetration</f>
        <v>0.49923366737725872</v>
      </c>
      <c r="V6" s="12">
        <f>IF(V$1&lt;any_launch_timing,0,HLOOKUP(V$1-any_launch_timing,Curves!$3:$4,2,TRUE))*CT_penetration</f>
        <v>0.49961548115379401</v>
      </c>
      <c r="W6" s="12">
        <f>IF(W$1&lt;any_launch_timing,0,HLOOKUP(W$1-any_launch_timing,Curves!$3:$4,2,TRUE))*CT_penetration</f>
        <v>0.49980709811413832</v>
      </c>
      <c r="X6" s="12">
        <f>IF(X$1&lt;any_launch_timing,0,HLOOKUP(X$1-any_launch_timing,Curves!$3:$4,2,TRUE))*CT_penetration</f>
        <v>0.49990323586163499</v>
      </c>
      <c r="Y6" s="12">
        <f>IF(Y$1&lt;any_launch_timing,0,HLOOKUP(Y$1-any_launch_timing,Curves!$3:$4,2,TRUE))*CT_penetration</f>
        <v>0.499951463116866</v>
      </c>
      <c r="Z6" s="12">
        <f>IF(Z$1&lt;any_launch_timing,0,HLOOKUP(Z$1-any_launch_timing,Curves!$3:$4,2,TRUE))*CT_penetration</f>
        <v>0.49997565448052317</v>
      </c>
      <c r="AA6" s="12">
        <f>IF(AA$1&lt;any_launch_timing,0,HLOOKUP(AA$1-any_launch_timing,Curves!$3:$4,2,TRUE))*CT_penetration</f>
        <v>0.49998275788688612</v>
      </c>
      <c r="AB6" s="12">
        <f>IF(AB$1&lt;any_launch_timing,0,HLOOKUP(AB$1-any_launch_timing,Curves!$3:$4,2,TRUE))*CT_penetration</f>
        <v>0.49998275788688612</v>
      </c>
      <c r="AC6" s="12">
        <f>IF(AC$1&lt;any_launch_timing,0,HLOOKUP(AC$1-any_launch_timing,Curves!$3:$4,2,TRUE))*CT_penetration</f>
        <v>0.49998275788688612</v>
      </c>
    </row>
    <row r="7" spans="1:29">
      <c r="B7" s="8"/>
      <c r="C7" s="8"/>
    </row>
    <row r="8" spans="1:29">
      <c r="B8" s="8" t="s">
        <v>158</v>
      </c>
      <c r="C8" s="8"/>
      <c r="D8" s="11">
        <f>D5*D9*D10</f>
        <v>0</v>
      </c>
      <c r="E8" s="11">
        <f t="shared" ref="E8:AC8" si="1">E5*E9*E10</f>
        <v>0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20.527450468743101</v>
      </c>
      <c r="L8" s="11">
        <f t="shared" si="1"/>
        <v>70.972296118092629</v>
      </c>
      <c r="M8" s="11">
        <f t="shared" si="1"/>
        <v>109.30009183062988</v>
      </c>
      <c r="N8" s="11">
        <f t="shared" si="1"/>
        <v>134.60915687937475</v>
      </c>
      <c r="O8" s="11">
        <f t="shared" si="1"/>
        <v>149.84889237086659</v>
      </c>
      <c r="P8" s="11">
        <f t="shared" si="1"/>
        <v>158.8447279877999</v>
      </c>
      <c r="Q8" s="11">
        <f t="shared" si="1"/>
        <v>164.30323543458169</v>
      </c>
      <c r="R8" s="11">
        <f t="shared" si="1"/>
        <v>167.84634368968554</v>
      </c>
      <c r="S8" s="11">
        <f t="shared" si="1"/>
        <v>170.40519383234931</v>
      </c>
      <c r="T8" s="11">
        <f t="shared" si="1"/>
        <v>171.97385696625707</v>
      </c>
      <c r="U8" s="11">
        <f t="shared" si="1"/>
        <v>144.62616323097552</v>
      </c>
      <c r="V8" s="11">
        <f t="shared" si="1"/>
        <v>122.94008718613783</v>
      </c>
      <c r="W8" s="11">
        <f t="shared" si="1"/>
        <v>112.34876102129965</v>
      </c>
      <c r="X8" s="11">
        <f t="shared" si="1"/>
        <v>108.12757463030594</v>
      </c>
      <c r="Y8" s="11">
        <f t="shared" si="1"/>
        <v>106.35331900873044</v>
      </c>
      <c r="Z8" s="11">
        <f t="shared" si="1"/>
        <v>105.52839416047054</v>
      </c>
      <c r="AA8" s="11">
        <f t="shared" si="1"/>
        <v>105.0924053851935</v>
      </c>
      <c r="AB8" s="11">
        <f t="shared" si="1"/>
        <v>104.94474224660551</v>
      </c>
      <c r="AC8" s="11">
        <f t="shared" si="1"/>
        <v>105.09885735693287</v>
      </c>
    </row>
    <row r="9" spans="1:29">
      <c r="B9" s="8" t="s">
        <v>90</v>
      </c>
      <c r="C9" s="8"/>
      <c r="D9" s="12">
        <f>IF(D$1&lt;PBR_launch_timing,0,IF(PBR_peak_share=1,1,HLOOKUP(D$1-PBR_launch_timing,Curves!$3:$4,2,TRUE)))*PBR_peak_share</f>
        <v>0</v>
      </c>
      <c r="E9" s="12">
        <f>IF(E$1&lt;PBR_launch_timing,0,IF(PBR_peak_share=1,1,HLOOKUP(E$1-PBR_launch_timing,Curves!$3:$4,2,TRUE)))*PBR_peak_share</f>
        <v>0</v>
      </c>
      <c r="F9" s="12">
        <f>IF(F$1&lt;PBR_launch_timing,0,IF(PBR_peak_share=1,1,HLOOKUP(F$1-PBR_launch_timing,Curves!$3:$4,2,TRUE)))*PBR_peak_share</f>
        <v>0</v>
      </c>
      <c r="G9" s="12">
        <f>IF(G$1&lt;PBR_launch_timing,0,IF(PBR_peak_share=1,1,HLOOKUP(G$1-PBR_launch_timing,Curves!$3:$4,2,TRUE)))*PBR_peak_share</f>
        <v>0</v>
      </c>
      <c r="H9" s="12">
        <f>IF(H$1&lt;PBR_launch_timing,0,IF(PBR_peak_share=1,1,HLOOKUP(H$1-PBR_launch_timing,Curves!$3:$4,2,TRUE)))*PBR_peak_share</f>
        <v>0</v>
      </c>
      <c r="I9" s="12">
        <f>IF(I$1&lt;PBR_launch_timing,0,IF(PBR_peak_share=1,1,HLOOKUP(I$1-PBR_launch_timing,Curves!$3:$4,2,TRUE)))*PBR_peak_share</f>
        <v>0</v>
      </c>
      <c r="J9" s="12">
        <f>IF(J$1&lt;PBR_launch_timing,0,IF(PBR_peak_share=1,1,HLOOKUP(J$1-PBR_launch_timing,Curves!$3:$4,2,TRUE)))*PBR_peak_share</f>
        <v>0</v>
      </c>
      <c r="K9" s="12">
        <f>IF(K$1&lt;PBR_launch_timing,0,IF(PBR_peak_share=1,1,HLOOKUP(K$1-PBR_launch_timing,Curves!$3:$4,2,TRUE)))*PBR_peak_share</f>
        <v>1</v>
      </c>
      <c r="L9" s="12">
        <f>IF(L$1&lt;PBR_launch_timing,0,IF(PBR_peak_share=1,1,HLOOKUP(L$1-PBR_launch_timing,Curves!$3:$4,2,TRUE)))*PBR_peak_share</f>
        <v>1</v>
      </c>
      <c r="M9" s="12">
        <f>IF(M$1&lt;PBR_launch_timing,0,IF(PBR_peak_share=1,1,HLOOKUP(M$1-PBR_launch_timing,Curves!$3:$4,2,TRUE)))*PBR_peak_share</f>
        <v>1</v>
      </c>
      <c r="N9" s="12">
        <f>IF(N$1&lt;PBR_launch_timing,0,IF(PBR_peak_share=1,1,HLOOKUP(N$1-PBR_launch_timing,Curves!$3:$4,2,TRUE)))*PBR_peak_share</f>
        <v>1</v>
      </c>
      <c r="O9" s="12">
        <f>IF(O$1&lt;PBR_launch_timing,0,IF(PBR_peak_share=1,1,HLOOKUP(O$1-PBR_launch_timing,Curves!$3:$4,2,TRUE)))*PBR_peak_share</f>
        <v>1</v>
      </c>
      <c r="P9" s="12">
        <f>IF(P$1&lt;PBR_launch_timing,0,IF(PBR_peak_share=1,1,HLOOKUP(P$1-PBR_launch_timing,Curves!$3:$4,2,TRUE)))*PBR_peak_share</f>
        <v>1</v>
      </c>
      <c r="Q9" s="12">
        <f>IF(Q$1&lt;PBR_launch_timing,0,IF(PBR_peak_share=1,1,HLOOKUP(Q$1-PBR_launch_timing,Curves!$3:$4,2,TRUE)))*PBR_peak_share</f>
        <v>1</v>
      </c>
      <c r="R9" s="12">
        <f>IF(R$1&lt;PBR_launch_timing,0,IF(PBR_peak_share=1,1,HLOOKUP(R$1-PBR_launch_timing,Curves!$3:$4,2,TRUE)))*PBR_peak_share</f>
        <v>1</v>
      </c>
      <c r="S9" s="12">
        <f>IF(S$1&lt;PBR_launch_timing,0,IF(PBR_peak_share=1,1,HLOOKUP(S$1-PBR_launch_timing,Curves!$3:$4,2,TRUE)))*PBR_peak_share</f>
        <v>1</v>
      </c>
      <c r="T9" s="12">
        <f>IF(T$1&lt;PBR_launch_timing,0,IF(PBR_peak_share=1,1,HLOOKUP(T$1-PBR_launch_timing,Curves!$3:$4,2,TRUE)))*PBR_peak_share</f>
        <v>1</v>
      </c>
      <c r="U9" s="12">
        <f>IF(U$1&lt;PBR_launch_timing,0,IF(PBR_peak_share=1,1,HLOOKUP(U$1-PBR_launch_timing,Curves!$3:$4,2,TRUE)))*PBR_peak_share</f>
        <v>1</v>
      </c>
      <c r="V9" s="12">
        <f>IF(V$1&lt;PBR_launch_timing,0,IF(PBR_peak_share=1,1,HLOOKUP(V$1-PBR_launch_timing,Curves!$3:$4,2,TRUE)))*PBR_peak_share</f>
        <v>1</v>
      </c>
      <c r="W9" s="12">
        <f>IF(W$1&lt;PBR_launch_timing,0,IF(PBR_peak_share=1,1,HLOOKUP(W$1-PBR_launch_timing,Curves!$3:$4,2,TRUE)))*PBR_peak_share</f>
        <v>1</v>
      </c>
      <c r="X9" s="12">
        <f>IF(X$1&lt;PBR_launch_timing,0,IF(PBR_peak_share=1,1,HLOOKUP(X$1-PBR_launch_timing,Curves!$3:$4,2,TRUE)))*PBR_peak_share</f>
        <v>1</v>
      </c>
      <c r="Y9" s="12">
        <f>IF(Y$1&lt;PBR_launch_timing,0,IF(PBR_peak_share=1,1,HLOOKUP(Y$1-PBR_launch_timing,Curves!$3:$4,2,TRUE)))*PBR_peak_share</f>
        <v>1</v>
      </c>
      <c r="Z9" s="12">
        <f>IF(Z$1&lt;PBR_launch_timing,0,IF(PBR_peak_share=1,1,HLOOKUP(Z$1-PBR_launch_timing,Curves!$3:$4,2,TRUE)))*PBR_peak_share</f>
        <v>1</v>
      </c>
      <c r="AA9" s="12">
        <f>IF(AA$1&lt;PBR_launch_timing,0,IF(PBR_peak_share=1,1,HLOOKUP(AA$1-PBR_launch_timing,Curves!$3:$4,2,TRUE)))*PBR_peak_share</f>
        <v>1</v>
      </c>
      <c r="AB9" s="12">
        <f>IF(AB$1&lt;PBR_launch_timing,0,IF(PBR_peak_share=1,1,HLOOKUP(AB$1-PBR_launch_timing,Curves!$3:$4,2,TRUE)))*PBR_peak_share</f>
        <v>1</v>
      </c>
      <c r="AC9" s="12">
        <f>IF(AC$1&lt;PBR_launch_timing,0,IF(PBR_peak_share=1,1,HLOOKUP(AC$1-PBR_launch_timing,Curves!$3:$4,2,TRUE)))*PBR_peak_share</f>
        <v>1</v>
      </c>
    </row>
    <row r="10" spans="1:29">
      <c r="B10" s="8" t="s">
        <v>91</v>
      </c>
      <c r="C10" s="8"/>
      <c r="D10" s="12">
        <f>1-IF(D$1&lt;PBR_LoE_timing,0,HLOOKUP(D$1-PBR_LoE_timing,Curves!$12:$13,2,TRUE))*'Control Panel'!$F$21</f>
        <v>1</v>
      </c>
      <c r="E10" s="12">
        <f>1-IF(E$1&lt;PBR_LoE_timing,0,HLOOKUP(E$1-PBR_LoE_timing,Curves!$12:$13,2,TRUE))*'Control Panel'!$F$21</f>
        <v>1</v>
      </c>
      <c r="F10" s="12">
        <f>1-IF(F$1&lt;PBR_LoE_timing,0,HLOOKUP(F$1-PBR_LoE_timing,Curves!$12:$13,2,TRUE))*'Control Panel'!$F$21</f>
        <v>1</v>
      </c>
      <c r="G10" s="12">
        <f>1-IF(G$1&lt;PBR_LoE_timing,0,HLOOKUP(G$1-PBR_LoE_timing,Curves!$12:$13,2,TRUE))*'Control Panel'!$F$21</f>
        <v>1</v>
      </c>
      <c r="H10" s="12">
        <f>1-IF(H$1&lt;PBR_LoE_timing,0,HLOOKUP(H$1-PBR_LoE_timing,Curves!$12:$13,2,TRUE))*'Control Panel'!$F$21</f>
        <v>1</v>
      </c>
      <c r="I10" s="12">
        <f>1-IF(I$1&lt;PBR_LoE_timing,0,HLOOKUP(I$1-PBR_LoE_timing,Curves!$12:$13,2,TRUE))*'Control Panel'!$F$21</f>
        <v>1</v>
      </c>
      <c r="J10" s="12">
        <f>1-IF(J$1&lt;PBR_LoE_timing,0,HLOOKUP(J$1-PBR_LoE_timing,Curves!$12:$13,2,TRUE))*'Control Panel'!$F$21</f>
        <v>1</v>
      </c>
      <c r="K10" s="12">
        <f>1-IF(K$1&lt;PBR_LoE_timing,0,HLOOKUP(K$1-PBR_LoE_timing,Curves!$12:$13,2,TRUE))*'Control Panel'!$F$21</f>
        <v>1</v>
      </c>
      <c r="L10" s="12">
        <f>1-IF(L$1&lt;PBR_LoE_timing,0,HLOOKUP(L$1-PBR_LoE_timing,Curves!$12:$13,2,TRUE))*'Control Panel'!$F$21</f>
        <v>1</v>
      </c>
      <c r="M10" s="12">
        <f>1-IF(M$1&lt;PBR_LoE_timing,0,HLOOKUP(M$1-PBR_LoE_timing,Curves!$12:$13,2,TRUE))*'Control Panel'!$F$21</f>
        <v>1</v>
      </c>
      <c r="N10" s="12">
        <f>1-IF(N$1&lt;PBR_LoE_timing,0,HLOOKUP(N$1-PBR_LoE_timing,Curves!$12:$13,2,TRUE))*'Control Panel'!$F$21</f>
        <v>1</v>
      </c>
      <c r="O10" s="12">
        <f>1-IF(O$1&lt;PBR_LoE_timing,0,HLOOKUP(O$1-PBR_LoE_timing,Curves!$12:$13,2,TRUE))*'Control Panel'!$F$21</f>
        <v>1</v>
      </c>
      <c r="P10" s="12">
        <f>1-IF(P$1&lt;PBR_LoE_timing,0,HLOOKUP(P$1-PBR_LoE_timing,Curves!$12:$13,2,TRUE))*'Control Panel'!$F$21</f>
        <v>1</v>
      </c>
      <c r="Q10" s="12">
        <f>1-IF(Q$1&lt;PBR_LoE_timing,0,HLOOKUP(Q$1-PBR_LoE_timing,Curves!$12:$13,2,TRUE))*'Control Panel'!$F$21</f>
        <v>1</v>
      </c>
      <c r="R10" s="12">
        <f>1-IF(R$1&lt;PBR_LoE_timing,0,HLOOKUP(R$1-PBR_LoE_timing,Curves!$12:$13,2,TRUE))*'Control Panel'!$F$21</f>
        <v>1</v>
      </c>
      <c r="S10" s="12">
        <f>1-IF(S$1&lt;PBR_LoE_timing,0,HLOOKUP(S$1-PBR_LoE_timing,Curves!$12:$13,2,TRUE))*'Control Panel'!$F$21</f>
        <v>1</v>
      </c>
      <c r="T10" s="12">
        <f>1-IF(T$1&lt;PBR_LoE_timing,0,HLOOKUP(T$1-PBR_LoE_timing,Curves!$12:$13,2,TRUE))*'Control Panel'!$F$21</f>
        <v>1</v>
      </c>
      <c r="U10" s="12">
        <f>1-IF(U$1&lt;PBR_LoE_timing,0,HLOOKUP(U$1-PBR_LoE_timing,Curves!$12:$13,2,TRUE))*'Control Panel'!$F$21</f>
        <v>0.83537197773039107</v>
      </c>
      <c r="V10" s="12">
        <f>1-IF(V$1&lt;PBR_LoE_timing,0,HLOOKUP(V$1-PBR_LoE_timing,Curves!$12:$13,2,TRUE))*'Control Panel'!$F$21</f>
        <v>0.70637139215826339</v>
      </c>
      <c r="W10" s="12">
        <f>1-IF(W$1&lt;PBR_LoE_timing,0,HLOOKUP(W$1-PBR_LoE_timing,Curves!$12:$13,2,TRUE))*'Control Panel'!$F$21</f>
        <v>0.64272266383985932</v>
      </c>
      <c r="X10" s="12">
        <f>1-IF(X$1&lt;PBR_LoE_timing,0,HLOOKUP(X$1-PBR_LoE_timing,Curves!$12:$13,2,TRUE))*'Control Panel'!$F$21</f>
        <v>0.61626588267412696</v>
      </c>
      <c r="Y10" s="12">
        <f>1-IF(Y$1&lt;PBR_LoE_timing,0,HLOOKUP(Y$1-PBR_LoE_timing,Curves!$12:$13,2,TRUE))*'Control Panel'!$F$21</f>
        <v>0.60606179301428864</v>
      </c>
      <c r="Z10" s="12">
        <f>1-IF(Z$1&lt;PBR_LoE_timing,0,HLOOKUP(Z$1-PBR_LoE_timing,Curves!$12:$13,2,TRUE))*'Control Panel'!$F$21</f>
        <v>0.60224074157369678</v>
      </c>
      <c r="AA10" s="12">
        <f>1-IF(AA$1&lt;PBR_LoE_timing,0,HLOOKUP(AA$1-PBR_LoE_timing,Curves!$12:$13,2,TRUE))*'Control Panel'!$F$21</f>
        <v>0.60082578482940385</v>
      </c>
      <c r="AB10" s="12">
        <f>1-IF(AB$1&lt;PBR_LoE_timing,0,HLOOKUP(AB$1-PBR_LoE_timing,Curves!$12:$13,2,TRUE))*'Control Panel'!$F$21</f>
        <v>0.60030398761180148</v>
      </c>
      <c r="AC10" s="12">
        <f>1-IF(AC$1&lt;PBR_LoE_timing,0,HLOOKUP(AC$1-PBR_LoE_timing,Curves!$12:$13,2,TRUE))*'Control Panel'!$F$21</f>
        <v>0.60011185766051778</v>
      </c>
    </row>
    <row r="11" spans="1:29">
      <c r="B11" s="8"/>
      <c r="C11" s="8"/>
    </row>
    <row r="12" spans="1:29" s="10" customFormat="1">
      <c r="B12" s="8" t="s">
        <v>159</v>
      </c>
      <c r="C12" s="8"/>
      <c r="D12" s="30">
        <f>IF(D$1&lt;PBR_launch_year,0,IF(D$1=PBR_launch_year,'Control Panel'!$F$24,IF(D$1&lt;PBR_LoE_year,C12*(1-'Control Panel'!$F$25),IF(D$1=PBR_LoE_year,C12*(1-'Control Panel'!$F$26),C12*(1-'Control Panel'!$F$27)))))</f>
        <v>0</v>
      </c>
      <c r="E12" s="30">
        <f>IF(E$1&lt;PBR_launch_year,0,IF(E$1=PBR_launch_year,'Control Panel'!$F$24,IF(E$1&lt;PBR_LoE_year,D12*(1-'Control Panel'!$F$25),IF(E$1=PBR_LoE_year,D12*(1-'Control Panel'!$F$26),D12*(1-'Control Panel'!$F$27)))))</f>
        <v>0</v>
      </c>
      <c r="F12" s="30">
        <f>IF(F$1&lt;PBR_launch_year,0,IF(F$1=PBR_launch_year,'Control Panel'!$F$24,IF(F$1&lt;PBR_LoE_year,E12*(1-'Control Panel'!$F$25),IF(F$1=PBR_LoE_year,E12*(1-'Control Panel'!$F$26),E12*(1-'Control Panel'!$F$27)))))</f>
        <v>0</v>
      </c>
      <c r="G12" s="30">
        <f>IF(G$1&lt;PBR_launch_year,0,IF(G$1=PBR_launch_year,'Control Panel'!$F$24,IF(G$1&lt;PBR_LoE_year,F12*(1-'Control Panel'!$F$25),IF(G$1=PBR_LoE_year,F12*(1-'Control Panel'!$F$26),F12*(1-'Control Panel'!$F$27)))))</f>
        <v>0</v>
      </c>
      <c r="H12" s="30">
        <f>IF(H$1&lt;PBR_launch_year,0,IF(H$1=PBR_launch_year,'Control Panel'!$F$24,IF(H$1&lt;PBR_LoE_year,G12*(1-'Control Panel'!$F$25),IF(H$1=PBR_LoE_year,G12*(1-'Control Panel'!$F$26),G12*(1-'Control Panel'!$F$27)))))</f>
        <v>0</v>
      </c>
      <c r="I12" s="30">
        <f>IF(I$1&lt;PBR_launch_year,0,IF(I$1=PBR_launch_year,'Control Panel'!$F$24,IF(I$1&lt;PBR_LoE_year,H12*(1-'Control Panel'!$F$25),IF(I$1=PBR_LoE_year,H12*(1-'Control Panel'!$F$26),H12*(1-'Control Panel'!$F$27)))))</f>
        <v>0</v>
      </c>
      <c r="J12" s="30">
        <f>IF(J$1&lt;PBR_launch_year,0,IF(J$1=PBR_launch_year,'Control Panel'!$F$24,IF(J$1&lt;PBR_LoE_year,I12*(1-'Control Panel'!$F$25),IF(J$1=PBR_LoE_year,I12*(1-'Control Panel'!$F$26),I12*(1-'Control Panel'!$F$27)))))</f>
        <v>0</v>
      </c>
      <c r="K12" s="30">
        <f>IF(K$1&lt;PBR_launch_year,0,IF(K$1=PBR_launch_year,'Control Panel'!$F$24,IF(K$1&lt;PBR_LoE_year,J12*(1-'Control Panel'!$F$25),IF(K$1=PBR_LoE_year,J12*(1-'Control Panel'!$F$26),J12*(1-'Control Panel'!$F$27)))))</f>
        <v>15000</v>
      </c>
      <c r="L12" s="30">
        <f>IF(L$1&lt;PBR_launch_year,0,IF(L$1=PBR_launch_year,'Control Panel'!$F$24,IF(L$1&lt;PBR_LoE_year,K12*(1-'Control Panel'!$F$25),IF(L$1=PBR_LoE_year,K12*(1-'Control Panel'!$F$26),K12*(1-'Control Panel'!$F$27)))))</f>
        <v>14700</v>
      </c>
      <c r="M12" s="30">
        <f>IF(M$1&lt;PBR_launch_year,0,IF(M$1=PBR_launch_year,'Control Panel'!$F$24,IF(M$1&lt;PBR_LoE_year,L12*(1-'Control Panel'!$F$25),IF(M$1=PBR_LoE_year,L12*(1-'Control Panel'!$F$26),L12*(1-'Control Panel'!$F$27)))))</f>
        <v>14406</v>
      </c>
      <c r="N12" s="30">
        <f>IF(N$1&lt;PBR_launch_year,0,IF(N$1=PBR_launch_year,'Control Panel'!$F$24,IF(N$1&lt;PBR_LoE_year,M12*(1-'Control Panel'!$F$25),IF(N$1=PBR_LoE_year,M12*(1-'Control Panel'!$F$26),M12*(1-'Control Panel'!$F$27)))))</f>
        <v>14117.88</v>
      </c>
      <c r="O12" s="30">
        <f>IF(O$1&lt;PBR_launch_year,0,IF(O$1=PBR_launch_year,'Control Panel'!$F$24,IF(O$1&lt;PBR_LoE_year,N12*(1-'Control Panel'!$F$25),IF(O$1=PBR_LoE_year,N12*(1-'Control Panel'!$F$26),N12*(1-'Control Panel'!$F$27)))))</f>
        <v>13835.5224</v>
      </c>
      <c r="P12" s="30">
        <f>IF(P$1&lt;PBR_launch_year,0,IF(P$1=PBR_launch_year,'Control Panel'!$F$24,IF(P$1&lt;PBR_LoE_year,O12*(1-'Control Panel'!$F$25),IF(P$1=PBR_LoE_year,O12*(1-'Control Panel'!$F$26),O12*(1-'Control Panel'!$F$27)))))</f>
        <v>13558.811952</v>
      </c>
      <c r="Q12" s="30">
        <f>IF(Q$1&lt;PBR_launch_year,0,IF(Q$1=PBR_launch_year,'Control Panel'!$F$24,IF(Q$1&lt;PBR_LoE_year,P12*(1-'Control Panel'!$F$25),IF(Q$1=PBR_LoE_year,P12*(1-'Control Panel'!$F$26),P12*(1-'Control Panel'!$F$27)))))</f>
        <v>13287.63571296</v>
      </c>
      <c r="R12" s="30">
        <f>IF(R$1&lt;PBR_launch_year,0,IF(R$1=PBR_launch_year,'Control Panel'!$F$24,IF(R$1&lt;PBR_LoE_year,Q12*(1-'Control Panel'!$F$25),IF(R$1=PBR_LoE_year,Q12*(1-'Control Panel'!$F$26),Q12*(1-'Control Panel'!$F$27)))))</f>
        <v>13021.882998700799</v>
      </c>
      <c r="S12" s="30">
        <f>IF(S$1&lt;PBR_launch_year,0,IF(S$1=PBR_launch_year,'Control Panel'!$F$24,IF(S$1&lt;PBR_LoE_year,R12*(1-'Control Panel'!$F$25),IF(S$1=PBR_LoE_year,R12*(1-'Control Panel'!$F$26),R12*(1-'Control Panel'!$F$27)))))</f>
        <v>12761.445338726784</v>
      </c>
      <c r="T12" s="30">
        <f>IF(T$1&lt;PBR_launch_year,0,IF(T$1=PBR_launch_year,'Control Panel'!$F$24,IF(T$1&lt;PBR_LoE_year,S12*(1-'Control Panel'!$F$25),IF(T$1=PBR_LoE_year,S12*(1-'Control Panel'!$F$26),S12*(1-'Control Panel'!$F$27)))))</f>
        <v>12506.216431952249</v>
      </c>
      <c r="U12" s="30">
        <f>IF(U$1&lt;PBR_launch_year,0,IF(U$1=PBR_launch_year,'Control Panel'!$F$24,IF(U$1&lt;PBR_LoE_year,T12*(1-'Control Panel'!$F$25),IF(U$1=PBR_LoE_year,T12*(1-'Control Panel'!$F$26),T12*(1-'Control Panel'!$F$27)))))</f>
        <v>10630.283967159412</v>
      </c>
      <c r="V12" s="30">
        <f>IF(V$1&lt;PBR_launch_year,0,IF(V$1=PBR_launch_year,'Control Panel'!$F$24,IF(V$1&lt;PBR_LoE_year,U12*(1-'Control Panel'!$F$25),IF(V$1=PBR_LoE_year,U12*(1-'Control Panel'!$F$26),U12*(1-'Control Panel'!$F$27)))))</f>
        <v>9992.4669291298469</v>
      </c>
      <c r="W12" s="30">
        <f>IF(W$1&lt;PBR_launch_year,0,IF(W$1=PBR_launch_year,'Control Panel'!$F$24,IF(W$1&lt;PBR_LoE_year,V12*(1-'Control Panel'!$F$25),IF(W$1=PBR_LoE_year,V12*(1-'Control Panel'!$F$26),V12*(1-'Control Panel'!$F$27)))))</f>
        <v>9392.9189133820564</v>
      </c>
      <c r="X12" s="30">
        <f>IF(X$1&lt;PBR_launch_year,0,IF(X$1=PBR_launch_year,'Control Panel'!$F$24,IF(X$1&lt;PBR_LoE_year,W12*(1-'Control Panel'!$F$25),IF(X$1=PBR_LoE_year,W12*(1-'Control Panel'!$F$26),W12*(1-'Control Panel'!$F$27)))))</f>
        <v>8829.343778579132</v>
      </c>
      <c r="Y12" s="30">
        <f>IF(Y$1&lt;PBR_launch_year,0,IF(Y$1=PBR_launch_year,'Control Panel'!$F$24,IF(Y$1&lt;PBR_LoE_year,X12*(1-'Control Panel'!$F$25),IF(Y$1=PBR_LoE_year,X12*(1-'Control Panel'!$F$26),X12*(1-'Control Panel'!$F$27)))))</f>
        <v>8299.5831518643845</v>
      </c>
      <c r="Z12" s="30">
        <f>IF(Z$1&lt;PBR_launch_year,0,IF(Z$1=PBR_launch_year,'Control Panel'!$F$24,IF(Z$1&lt;PBR_LoE_year,Y12*(1-'Control Panel'!$F$25),IF(Z$1=PBR_LoE_year,Y12*(1-'Control Panel'!$F$26),Y12*(1-'Control Panel'!$F$27)))))</f>
        <v>7801.6081627525209</v>
      </c>
      <c r="AA12" s="30">
        <f>IF(AA$1&lt;PBR_launch_year,0,IF(AA$1=PBR_launch_year,'Control Panel'!$F$24,IF(AA$1&lt;PBR_LoE_year,Z12*(1-'Control Panel'!$F$25),IF(AA$1=PBR_LoE_year,Z12*(1-'Control Panel'!$F$26),Z12*(1-'Control Panel'!$F$27)))))</f>
        <v>7333.5116729873689</v>
      </c>
      <c r="AB12" s="30">
        <f>IF(AB$1&lt;PBR_launch_year,0,IF(AB$1=PBR_launch_year,'Control Panel'!$F$24,IF(AB$1&lt;PBR_LoE_year,AA12*(1-'Control Panel'!$F$25),IF(AB$1=PBR_LoE_year,AA12*(1-'Control Panel'!$F$26),AA12*(1-'Control Panel'!$F$27)))))</f>
        <v>6893.5009726081262</v>
      </c>
      <c r="AC12" s="30">
        <f>IF(AC$1&lt;PBR_launch_year,0,IF(AC$1=PBR_launch_year,'Control Panel'!$F$24,IF(AC$1&lt;PBR_LoE_year,AB12*(1-'Control Panel'!$F$25),IF(AC$1=PBR_LoE_year,AB12*(1-'Control Panel'!$F$26),AB12*(1-'Control Panel'!$F$27)))))</f>
        <v>6479.8909142516386</v>
      </c>
    </row>
    <row r="13" spans="1:29">
      <c r="B13" s="8"/>
      <c r="C13" s="8"/>
    </row>
    <row r="14" spans="1:29">
      <c r="B14" s="8" t="s">
        <v>160</v>
      </c>
      <c r="C14" s="8"/>
      <c r="D14" s="11">
        <f>D12*D8/1000</f>
        <v>0</v>
      </c>
      <c r="E14" s="11">
        <f t="shared" ref="E14:AC14" si="2">E12*E8/1000</f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307.91175703114652</v>
      </c>
      <c r="L14" s="11">
        <f t="shared" si="2"/>
        <v>1043.2927529359617</v>
      </c>
      <c r="M14" s="11">
        <f t="shared" si="2"/>
        <v>1574.5771229120542</v>
      </c>
      <c r="N14" s="11">
        <f t="shared" si="2"/>
        <v>1900.395923724187</v>
      </c>
      <c r="O14" s="11">
        <f t="shared" si="2"/>
        <v>2073.2377070123139</v>
      </c>
      <c r="P14" s="11">
        <f t="shared" si="2"/>
        <v>2153.7457963531701</v>
      </c>
      <c r="Q14" s="11">
        <f t="shared" si="2"/>
        <v>2183.2015389154226</v>
      </c>
      <c r="R14" s="11">
        <f t="shared" si="2"/>
        <v>2185.6754492868072</v>
      </c>
      <c r="S14" s="11">
        <f t="shared" si="2"/>
        <v>2174.6165665266681</v>
      </c>
      <c r="T14" s="11">
        <f t="shared" si="2"/>
        <v>2150.7422758576104</v>
      </c>
      <c r="U14" s="11">
        <f t="shared" si="2"/>
        <v>1537.4171842260191</v>
      </c>
      <c r="V14" s="11">
        <f t="shared" si="2"/>
        <v>1228.4747554718224</v>
      </c>
      <c r="W14" s="11">
        <f t="shared" si="2"/>
        <v>1055.2828022920064</v>
      </c>
      <c r="X14" s="11">
        <f t="shared" si="2"/>
        <v>954.69552835494255</v>
      </c>
      <c r="Y14" s="11">
        <f t="shared" si="2"/>
        <v>882.68821458971729</v>
      </c>
      <c r="Z14" s="11">
        <f t="shared" si="2"/>
        <v>823.2911812844925</v>
      </c>
      <c r="AA14" s="11">
        <f t="shared" si="2"/>
        <v>770.69638163463708</v>
      </c>
      <c r="AB14" s="11">
        <f t="shared" si="2"/>
        <v>723.43668274708421</v>
      </c>
      <c r="AC14" s="11">
        <f t="shared" si="2"/>
        <v>681.02913088541823</v>
      </c>
    </row>
    <row r="16" spans="1:29">
      <c r="A16" s="8" t="s">
        <v>137</v>
      </c>
    </row>
    <row r="17" spans="1:29">
      <c r="B17" s="8" t="s">
        <v>97</v>
      </c>
      <c r="D17" s="9">
        <f>D8*'Control Panel'!$F$30/1000</f>
        <v>0</v>
      </c>
      <c r="E17" s="9">
        <f>E8*'Control Panel'!$F$30/1000</f>
        <v>0</v>
      </c>
      <c r="F17" s="9">
        <f>F8*'Control Panel'!$F$30/1000</f>
        <v>0</v>
      </c>
      <c r="G17" s="9">
        <f>G8*'Control Panel'!$F$30/1000</f>
        <v>0</v>
      </c>
      <c r="H17" s="9">
        <f>H8*'Control Panel'!$F$30/1000</f>
        <v>0</v>
      </c>
      <c r="I17" s="9">
        <f>I8*'Control Panel'!$F$30/1000</f>
        <v>0</v>
      </c>
      <c r="J17" s="9">
        <f>J8*'Control Panel'!$F$30/1000</f>
        <v>0</v>
      </c>
      <c r="K17" s="9">
        <f>K8*'Control Panel'!$F$30/1000</f>
        <v>18.474705421868791</v>
      </c>
      <c r="L17" s="9">
        <f>L8*'Control Panel'!$F$30/1000</f>
        <v>63.875066506283368</v>
      </c>
      <c r="M17" s="9">
        <f>M8*'Control Panel'!$F$30/1000</f>
        <v>98.370082647566889</v>
      </c>
      <c r="N17" s="9">
        <f>N8*'Control Panel'!$F$30/1000</f>
        <v>121.14824119143728</v>
      </c>
      <c r="O17" s="9">
        <f>O8*'Control Panel'!$F$30/1000</f>
        <v>134.86400313377993</v>
      </c>
      <c r="P17" s="9">
        <f>P8*'Control Panel'!$F$30/1000</f>
        <v>142.9602551890199</v>
      </c>
      <c r="Q17" s="9">
        <f>Q8*'Control Panel'!$F$30/1000</f>
        <v>147.87291189112352</v>
      </c>
      <c r="R17" s="9">
        <f>R8*'Control Panel'!$F$30/1000</f>
        <v>151.061709320717</v>
      </c>
      <c r="S17" s="9">
        <f>S8*'Control Panel'!$F$30/1000</f>
        <v>153.3646744491144</v>
      </c>
      <c r="T17" s="9">
        <f>T8*'Control Panel'!$F$30/1000</f>
        <v>154.77647126963137</v>
      </c>
      <c r="U17" s="9">
        <f>U8*'Control Panel'!$F$30/1000</f>
        <v>130.16354690787796</v>
      </c>
      <c r="V17" s="9">
        <f>V8*'Control Panel'!$F$30/1000</f>
        <v>110.64607846752405</v>
      </c>
      <c r="W17" s="9">
        <f>W8*'Control Panel'!$F$30/1000</f>
        <v>101.11388491916968</v>
      </c>
      <c r="X17" s="9">
        <f>X8*'Control Panel'!$F$30/1000</f>
        <v>97.314817167275351</v>
      </c>
      <c r="Y17" s="9">
        <f>Y8*'Control Panel'!$F$30/1000</f>
        <v>95.717987107857397</v>
      </c>
      <c r="Z17" s="9">
        <f>Z8*'Control Panel'!$F$30/1000</f>
        <v>94.975554744423476</v>
      </c>
      <c r="AA17" s="9">
        <f>AA8*'Control Panel'!$F$30/1000</f>
        <v>94.583164846674151</v>
      </c>
      <c r="AB17" s="9">
        <f>AB8*'Control Panel'!$F$30/1000</f>
        <v>94.450268021944964</v>
      </c>
      <c r="AC17" s="9">
        <f>AC8*'Control Panel'!$F$30/1000</f>
        <v>94.588971621239594</v>
      </c>
    </row>
    <row r="18" spans="1:29">
      <c r="B18" s="8" t="s">
        <v>135</v>
      </c>
      <c r="D18" s="9">
        <f>SUMIF('SG&amp;A Assumption table'!2:2,D1-PBR_launch_year,'SG&amp;A Assumption table'!3:3)</f>
        <v>0</v>
      </c>
      <c r="E18" s="9">
        <f>SUMIF('SG&amp;A Assumption table'!2:2,E1-PBR_launch_year,'SG&amp;A Assumption table'!3:3)</f>
        <v>0</v>
      </c>
      <c r="F18" s="9">
        <f>SUMIF('SG&amp;A Assumption table'!2:2,F1-PBR_launch_year,'SG&amp;A Assumption table'!3:3)</f>
        <v>0</v>
      </c>
      <c r="G18" s="9">
        <f>SUMIF('SG&amp;A Assumption table'!2:2,G1-PBR_launch_year,'SG&amp;A Assumption table'!3:3)</f>
        <v>0</v>
      </c>
      <c r="H18" s="9">
        <f>SUMIF('SG&amp;A Assumption table'!2:2,H1-PBR_launch_year,'SG&amp;A Assumption table'!3:3)</f>
        <v>0</v>
      </c>
      <c r="I18" s="9">
        <f>SUMIF('SG&amp;A Assumption table'!2:2,I1-PBR_launch_year,'SG&amp;A Assumption table'!3:3)</f>
        <v>378.5</v>
      </c>
      <c r="J18" s="9">
        <f>SUMIF('SG&amp;A Assumption table'!2:2,J1-PBR_launch_year,'SG&amp;A Assumption table'!3:3)</f>
        <v>552.01</v>
      </c>
      <c r="K18" s="9">
        <f>SUMIF('SG&amp;A Assumption table'!2:2,K1-PBR_launch_year,'SG&amp;A Assumption table'!3:3)</f>
        <v>1331.4639999999999</v>
      </c>
      <c r="L18" s="9">
        <f>SUMIF('SG&amp;A Assumption table'!2:2,L1-PBR_launch_year,'SG&amp;A Assumption table'!3:3)</f>
        <v>1371.772608</v>
      </c>
      <c r="M18" s="9">
        <f>SUMIF('SG&amp;A Assumption table'!2:2,M1-PBR_launch_year,'SG&amp;A Assumption table'!3:3)</f>
        <v>1375.50806016</v>
      </c>
      <c r="N18" s="9">
        <f>SUMIF('SG&amp;A Assumption table'!2:2,N1-PBR_launch_year,'SG&amp;A Assumption table'!3:3)</f>
        <v>1379.3182213632001</v>
      </c>
      <c r="O18" s="9">
        <f>SUMIF('SG&amp;A Assumption table'!2:2,O1-PBR_launch_year,'SG&amp;A Assumption table'!3:3)</f>
        <v>1326.10895684144</v>
      </c>
      <c r="P18" s="9">
        <f>SUMIF('SG&amp;A Assumption table'!2:2,P1-PBR_launch_year,'SG&amp;A Assumption table'!3:3)</f>
        <v>1310.2416506370746</v>
      </c>
      <c r="Q18" s="9">
        <f>SUMIF('SG&amp;A Assumption table'!2:2,Q1-PBR_launch_year,'SG&amp;A Assumption table'!3:3)</f>
        <v>994.073208601798</v>
      </c>
      <c r="R18" s="9">
        <f>SUMIF('SG&amp;A Assumption table'!2:2,R1-PBR_launch_year,'SG&amp;A Assumption table'!3:3)</f>
        <v>977.59393222485539</v>
      </c>
      <c r="S18" s="9">
        <f>SUMIF('SG&amp;A Assumption table'!2:2,S1-PBR_launch_year,'SG&amp;A Assumption table'!3:3)</f>
        <v>627.02346431949672</v>
      </c>
      <c r="T18" s="9">
        <f>SUMIF('SG&amp;A Assumption table'!2:2,T1-PBR_launch_year,'SG&amp;A Assumption table'!3:3)</f>
        <v>629.3639336058867</v>
      </c>
      <c r="U18" s="9">
        <f>SUMIF('SG&amp;A Assumption table'!2:2,U1-PBR_launch_year,'SG&amp;A Assumption table'!3:3)</f>
        <v>475.51077024775128</v>
      </c>
      <c r="V18" s="9">
        <f>SUMIF('SG&amp;A Assumption table'!2:2,V1-PBR_launch_year,'SG&amp;A Assumption table'!3:3)</f>
        <v>476.2209856527063</v>
      </c>
      <c r="W18" s="9">
        <f>SUMIF('SG&amp;A Assumption table'!2:2,W1-PBR_launch_year,'SG&amp;A Assumption table'!3:3)</f>
        <v>476.94540536576045</v>
      </c>
      <c r="X18" s="9">
        <f>SUMIF('SG&amp;A Assumption table'!2:2,X1-PBR_launch_year,'SG&amp;A Assumption table'!3:3)</f>
        <v>477.68431347307563</v>
      </c>
      <c r="Y18" s="9">
        <f>SUMIF('SG&amp;A Assumption table'!2:2,Y1-PBR_launch_year,'SG&amp;A Assumption table'!3:3)</f>
        <v>449.21899987126858</v>
      </c>
      <c r="Z18" s="9">
        <f>SUMIF('SG&amp;A Assumption table'!2:2,Z1-PBR_launch_year,'SG&amp;A Assumption table'!3:3)</f>
        <v>429.60337986869393</v>
      </c>
      <c r="AA18" s="9">
        <f>SUMIF('SG&amp;A Assumption table'!2:2,AA1-PBR_launch_year,'SG&amp;A Assumption table'!3:3)</f>
        <v>429.99544746606784</v>
      </c>
      <c r="AB18" s="9">
        <f>SUMIF('SG&amp;A Assumption table'!2:2,AB1-PBR_launch_year,'SG&amp;A Assumption table'!3:3)</f>
        <v>430.39535641538919</v>
      </c>
      <c r="AC18" s="9">
        <f>SUMIF('SG&amp;A Assumption table'!2:2,AC1-PBR_launch_year,'SG&amp;A Assumption table'!3:3)</f>
        <v>430.80326354369697</v>
      </c>
    </row>
    <row r="19" spans="1:29">
      <c r="B19" s="8" t="s">
        <v>130</v>
      </c>
      <c r="D19" s="9">
        <f>SUMIF('R&amp;D Assumption table'!2:2,D1-PBR_launch_year,'R&amp;D Assumption table'!3:3)</f>
        <v>0</v>
      </c>
      <c r="E19" s="9">
        <f>SUMIF('R&amp;D Assumption table'!2:2,E1-PBR_launch_year,'R&amp;D Assumption table'!3:3)</f>
        <v>0</v>
      </c>
      <c r="F19" s="9">
        <f>SUMIF('R&amp;D Assumption table'!2:2,F1-PBR_launch_year,'R&amp;D Assumption table'!3:3)</f>
        <v>0</v>
      </c>
      <c r="G19" s="9">
        <f>SUMIF('R&amp;D Assumption table'!2:2,G1-PBR_launch_year,'R&amp;D Assumption table'!3:3)</f>
        <v>0</v>
      </c>
      <c r="H19" s="9">
        <f>SUMIF('R&amp;D Assumption table'!2:2,H1-PBR_launch_year,'R&amp;D Assumption table'!3:3)</f>
        <v>200</v>
      </c>
      <c r="I19" s="9">
        <f>SUMIF('R&amp;D Assumption table'!2:2,I1-PBR_launch_year,'R&amp;D Assumption table'!3:3)</f>
        <v>200</v>
      </c>
      <c r="J19" s="9">
        <f>SUMIF('R&amp;D Assumption table'!2:2,J1-PBR_launch_year,'R&amp;D Assumption table'!3:3)</f>
        <v>200</v>
      </c>
      <c r="K19" s="9">
        <f>SUMIF('R&amp;D Assumption table'!2:2,K1-PBR_launch_year,'R&amp;D Assumption table'!3:3)</f>
        <v>50</v>
      </c>
      <c r="L19" s="9">
        <f>SUMIF('R&amp;D Assumption table'!2:2,L1-PBR_launch_year,'R&amp;D Assumption table'!3:3)</f>
        <v>50</v>
      </c>
      <c r="M19" s="9">
        <f>SUMIF('R&amp;D Assumption table'!2:2,M1-PBR_launch_year,'R&amp;D Assumption table'!3:3)</f>
        <v>50</v>
      </c>
      <c r="N19" s="9">
        <f>SUMIF('R&amp;D Assumption table'!2:2,N1-PBR_launch_year,'R&amp;D Assumption table'!3:3)</f>
        <v>50</v>
      </c>
      <c r="O19" s="9">
        <f>SUMIF('R&amp;D Assumption table'!2:2,O1-PBR_launch_year,'R&amp;D Assumption table'!3:3)</f>
        <v>50</v>
      </c>
      <c r="P19" s="9">
        <f>SUMIF('R&amp;D Assumption table'!2:2,P1-PBR_launch_year,'R&amp;D Assumption table'!3:3)</f>
        <v>50</v>
      </c>
      <c r="Q19" s="9">
        <f>SUMIF('R&amp;D Assumption table'!2:2,Q1-PBR_launch_year,'R&amp;D Assumption table'!3:3)</f>
        <v>0</v>
      </c>
      <c r="R19" s="9">
        <f>SUMIF('R&amp;D Assumption table'!2:2,R1-PBR_launch_year,'R&amp;D Assumption table'!3:3)</f>
        <v>0</v>
      </c>
      <c r="S19" s="9">
        <f>SUMIF('R&amp;D Assumption table'!2:2,S1-PBR_launch_year,'R&amp;D Assumption table'!3:3)</f>
        <v>0</v>
      </c>
      <c r="T19" s="9">
        <f>SUMIF('R&amp;D Assumption table'!2:2,T1-PBR_launch_year,'R&amp;D Assumption table'!3:3)</f>
        <v>0</v>
      </c>
      <c r="U19" s="9">
        <f>SUMIF('R&amp;D Assumption table'!2:2,U1-PBR_launch_year,'R&amp;D Assumption table'!3:3)</f>
        <v>0</v>
      </c>
      <c r="V19" s="9">
        <f>SUMIF('R&amp;D Assumption table'!2:2,V1-PBR_launch_year,'R&amp;D Assumption table'!3:3)</f>
        <v>0</v>
      </c>
      <c r="W19" s="9">
        <f>SUMIF('R&amp;D Assumption table'!2:2,W1-PBR_launch_year,'R&amp;D Assumption table'!3:3)</f>
        <v>0</v>
      </c>
      <c r="X19" s="9">
        <f>SUMIF('R&amp;D Assumption table'!2:2,X1-PBR_launch_year,'R&amp;D Assumption table'!3:3)</f>
        <v>0</v>
      </c>
      <c r="Y19" s="9">
        <f>SUMIF('R&amp;D Assumption table'!2:2,Y1-PBR_launch_year,'R&amp;D Assumption table'!3:3)</f>
        <v>0</v>
      </c>
      <c r="Z19" s="9">
        <f>SUMIF('R&amp;D Assumption table'!2:2,Z1-PBR_launch_year,'R&amp;D Assumption table'!3:3)</f>
        <v>0</v>
      </c>
      <c r="AA19" s="9">
        <f>SUMIF('R&amp;D Assumption table'!2:2,AA1-PBR_launch_year,'R&amp;D Assumption table'!3:3)</f>
        <v>0</v>
      </c>
      <c r="AB19" s="9">
        <f>SUMIF('R&amp;D Assumption table'!2:2,AB1-PBR_launch_year,'R&amp;D Assumption table'!3:3)</f>
        <v>0</v>
      </c>
      <c r="AC19" s="9">
        <f>SUMIF('R&amp;D Assumption table'!2:2,AC1-PBR_launch_year,'R&amp;D Assumption table'!3:3)</f>
        <v>0</v>
      </c>
    </row>
    <row r="21" spans="1:29">
      <c r="A21" s="8" t="s">
        <v>138</v>
      </c>
      <c r="B21" s="8" t="s">
        <v>155</v>
      </c>
      <c r="D21" s="14">
        <f>D14-SUM(D17:D19)</f>
        <v>0</v>
      </c>
      <c r="E21" s="14">
        <f t="shared" ref="E21:AC21" si="3">E14-SUM(E17:E19)</f>
        <v>0</v>
      </c>
      <c r="F21" s="14">
        <f t="shared" si="3"/>
        <v>0</v>
      </c>
      <c r="G21" s="14">
        <f t="shared" si="3"/>
        <v>0</v>
      </c>
      <c r="H21" s="14">
        <f t="shared" si="3"/>
        <v>-200</v>
      </c>
      <c r="I21" s="14">
        <f t="shared" si="3"/>
        <v>-578.5</v>
      </c>
      <c r="J21" s="14">
        <f t="shared" si="3"/>
        <v>-752.01</v>
      </c>
      <c r="K21" s="14">
        <f t="shared" si="3"/>
        <v>-1092.0269483907223</v>
      </c>
      <c r="L21" s="14">
        <f t="shared" si="3"/>
        <v>-442.35492157032172</v>
      </c>
      <c r="M21" s="14">
        <f t="shared" si="3"/>
        <v>50.698980104487191</v>
      </c>
      <c r="N21" s="14">
        <f t="shared" si="3"/>
        <v>349.92946116954954</v>
      </c>
      <c r="O21" s="14">
        <f t="shared" si="3"/>
        <v>562.26474703709391</v>
      </c>
      <c r="P21" s="14">
        <f t="shared" si="3"/>
        <v>650.54389052707575</v>
      </c>
      <c r="Q21" s="14">
        <f t="shared" si="3"/>
        <v>1041.255418422501</v>
      </c>
      <c r="R21" s="14">
        <f t="shared" si="3"/>
        <v>1057.0198077412347</v>
      </c>
      <c r="S21" s="14">
        <f t="shared" si="3"/>
        <v>1394.228427758057</v>
      </c>
      <c r="T21" s="14">
        <f t="shared" si="3"/>
        <v>1366.6018709820924</v>
      </c>
      <c r="U21" s="14">
        <f t="shared" si="3"/>
        <v>931.74286707038982</v>
      </c>
      <c r="V21" s="14">
        <f t="shared" si="3"/>
        <v>641.60769135159205</v>
      </c>
      <c r="W21" s="14">
        <f t="shared" si="3"/>
        <v>477.22351200707624</v>
      </c>
      <c r="X21" s="14">
        <f t="shared" si="3"/>
        <v>379.69639771459151</v>
      </c>
      <c r="Y21" s="14">
        <f t="shared" si="3"/>
        <v>337.75122761059129</v>
      </c>
      <c r="Z21" s="14">
        <f t="shared" si="3"/>
        <v>298.71224667137506</v>
      </c>
      <c r="AA21" s="14">
        <f t="shared" si="3"/>
        <v>246.11776932189503</v>
      </c>
      <c r="AB21" s="14">
        <f t="shared" si="3"/>
        <v>198.59105830975</v>
      </c>
      <c r="AC21" s="14">
        <f t="shared" si="3"/>
        <v>155.63689572048168</v>
      </c>
    </row>
    <row r="22" spans="1:29">
      <c r="A22" s="8"/>
      <c r="B22" s="8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>
      <c r="A23" s="8"/>
      <c r="B23" s="8" t="s">
        <v>139</v>
      </c>
      <c r="C23" s="29"/>
      <c r="D23" s="14">
        <f>MAX(D21,0)*'Control Panel'!$F$31</f>
        <v>0</v>
      </c>
      <c r="E23" s="14">
        <f>MAX(E21,0)*'Control Panel'!$F$31</f>
        <v>0</v>
      </c>
      <c r="F23" s="14">
        <f>MAX(F21,0)*'Control Panel'!$F$31</f>
        <v>0</v>
      </c>
      <c r="G23" s="14">
        <f>MAX(G21,0)*'Control Panel'!$F$31</f>
        <v>0</v>
      </c>
      <c r="H23" s="14">
        <f>MAX(H21,0)*'Control Panel'!$F$31</f>
        <v>0</v>
      </c>
      <c r="I23" s="14">
        <f>MAX(I21,0)*'Control Panel'!$F$31</f>
        <v>0</v>
      </c>
      <c r="J23" s="14">
        <f>MAX(J21,0)*'Control Panel'!$F$31</f>
        <v>0</v>
      </c>
      <c r="K23" s="14">
        <f>MAX(K21,0)*'Control Panel'!$F$31</f>
        <v>0</v>
      </c>
      <c r="L23" s="14">
        <f>MAX(L21,0)*'Control Panel'!$F$31</f>
        <v>0</v>
      </c>
      <c r="M23" s="14">
        <f>MAX(M21,0)*'Control Panel'!$F$31</f>
        <v>17.744643036570515</v>
      </c>
      <c r="N23" s="14">
        <f>MAX(N21,0)*'Control Panel'!$F$31</f>
        <v>122.47531140934232</v>
      </c>
      <c r="O23" s="14">
        <f>MAX(O21,0)*'Control Panel'!$F$31</f>
        <v>196.79266146298286</v>
      </c>
      <c r="P23" s="14">
        <f>MAX(P21,0)*'Control Panel'!$F$31</f>
        <v>227.6903616844765</v>
      </c>
      <c r="Q23" s="14">
        <f>MAX(Q21,0)*'Control Panel'!$F$31</f>
        <v>364.43939644787531</v>
      </c>
      <c r="R23" s="14">
        <f>MAX(R21,0)*'Control Panel'!$F$31</f>
        <v>369.95693270943212</v>
      </c>
      <c r="S23" s="14">
        <f>MAX(S21,0)*'Control Panel'!$F$31</f>
        <v>487.97994971531995</v>
      </c>
      <c r="T23" s="14">
        <f>MAX(T21,0)*'Control Panel'!$F$31</f>
        <v>478.31065484373227</v>
      </c>
      <c r="U23" s="14">
        <f>MAX(U21,0)*'Control Panel'!$F$31</f>
        <v>326.11000347463641</v>
      </c>
      <c r="V23" s="14">
        <f>MAX(V21,0)*'Control Panel'!$F$31</f>
        <v>224.56269197305721</v>
      </c>
      <c r="W23" s="14">
        <f>MAX(W21,0)*'Control Panel'!$F$31</f>
        <v>167.02822920247667</v>
      </c>
      <c r="X23" s="14">
        <f>MAX(X21,0)*'Control Panel'!$F$31</f>
        <v>132.89373920010704</v>
      </c>
      <c r="Y23" s="14">
        <f>MAX(Y21,0)*'Control Panel'!$F$31</f>
        <v>118.21292966370694</v>
      </c>
      <c r="Z23" s="14">
        <f>MAX(Z21,0)*'Control Panel'!$F$31</f>
        <v>104.54928633498126</v>
      </c>
      <c r="AA23" s="14">
        <f>MAX(AA21,0)*'Control Panel'!$F$31</f>
        <v>86.141219262663256</v>
      </c>
      <c r="AB23" s="14">
        <f>MAX(AB21,0)*'Control Panel'!$F$31</f>
        <v>69.506870408412496</v>
      </c>
      <c r="AC23" s="14">
        <f>MAX(AC21,0)*'Control Panel'!$F$31</f>
        <v>54.472913502168581</v>
      </c>
    </row>
    <row r="24" spans="1:29">
      <c r="A24" s="8"/>
      <c r="B24" s="8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>
      <c r="A25" s="8" t="s">
        <v>141</v>
      </c>
      <c r="B25" s="58" t="s">
        <v>156</v>
      </c>
      <c r="D25" s="14">
        <f>D21-D23</f>
        <v>0</v>
      </c>
      <c r="E25" s="14">
        <f t="shared" ref="E25:AC25" si="4">E21-E23</f>
        <v>0</v>
      </c>
      <c r="F25" s="14">
        <f t="shared" si="4"/>
        <v>0</v>
      </c>
      <c r="G25" s="14">
        <f t="shared" si="4"/>
        <v>0</v>
      </c>
      <c r="H25" s="14">
        <f t="shared" si="4"/>
        <v>-200</v>
      </c>
      <c r="I25" s="14">
        <f t="shared" si="4"/>
        <v>-578.5</v>
      </c>
      <c r="J25" s="14">
        <f t="shared" si="4"/>
        <v>-752.01</v>
      </c>
      <c r="K25" s="14">
        <f t="shared" si="4"/>
        <v>-1092.0269483907223</v>
      </c>
      <c r="L25" s="14">
        <f t="shared" si="4"/>
        <v>-442.35492157032172</v>
      </c>
      <c r="M25" s="14">
        <f t="shared" si="4"/>
        <v>32.954337067916676</v>
      </c>
      <c r="N25" s="14">
        <f t="shared" si="4"/>
        <v>227.4541497602072</v>
      </c>
      <c r="O25" s="14">
        <f t="shared" si="4"/>
        <v>365.47208557411102</v>
      </c>
      <c r="P25" s="14">
        <f t="shared" si="4"/>
        <v>422.85352884259925</v>
      </c>
      <c r="Q25" s="14">
        <f t="shared" si="4"/>
        <v>676.81602197462564</v>
      </c>
      <c r="R25" s="14">
        <f t="shared" si="4"/>
        <v>687.06287503180261</v>
      </c>
      <c r="S25" s="14">
        <f t="shared" si="4"/>
        <v>906.24847804273713</v>
      </c>
      <c r="T25" s="14">
        <f t="shared" si="4"/>
        <v>888.29121613836014</v>
      </c>
      <c r="U25" s="14">
        <f t="shared" si="4"/>
        <v>605.63286359575341</v>
      </c>
      <c r="V25" s="14">
        <f t="shared" si="4"/>
        <v>417.04499937853484</v>
      </c>
      <c r="W25" s="14">
        <f t="shared" si="4"/>
        <v>310.19528280459957</v>
      </c>
      <c r="X25" s="14">
        <f t="shared" si="4"/>
        <v>246.80265851448448</v>
      </c>
      <c r="Y25" s="14">
        <f t="shared" si="4"/>
        <v>219.53829794688434</v>
      </c>
      <c r="Z25" s="14">
        <f t="shared" si="4"/>
        <v>194.16296033639378</v>
      </c>
      <c r="AA25" s="14">
        <f t="shared" si="4"/>
        <v>159.97655005923178</v>
      </c>
      <c r="AB25" s="14">
        <f t="shared" si="4"/>
        <v>129.08418790133749</v>
      </c>
      <c r="AC25" s="14">
        <f t="shared" si="4"/>
        <v>101.16398221831309</v>
      </c>
    </row>
    <row r="26" spans="1:29">
      <c r="A26" s="8"/>
      <c r="B26" s="58" t="s">
        <v>157</v>
      </c>
      <c r="D26" s="14">
        <f>D25</f>
        <v>0</v>
      </c>
      <c r="E26" s="14">
        <f>E25+D26</f>
        <v>0</v>
      </c>
      <c r="F26" s="14">
        <f t="shared" ref="F26:AC26" si="5">F25+E26</f>
        <v>0</v>
      </c>
      <c r="G26" s="14">
        <f t="shared" si="5"/>
        <v>0</v>
      </c>
      <c r="H26" s="14">
        <f t="shared" si="5"/>
        <v>-200</v>
      </c>
      <c r="I26" s="14">
        <f t="shared" si="5"/>
        <v>-778.5</v>
      </c>
      <c r="J26" s="14">
        <f t="shared" si="5"/>
        <v>-1530.51</v>
      </c>
      <c r="K26" s="14">
        <f t="shared" si="5"/>
        <v>-2622.5369483907225</v>
      </c>
      <c r="L26" s="14">
        <f t="shared" si="5"/>
        <v>-3064.891869961044</v>
      </c>
      <c r="M26" s="14">
        <f t="shared" si="5"/>
        <v>-3031.9375328931274</v>
      </c>
      <c r="N26" s="14">
        <f t="shared" si="5"/>
        <v>-2804.4833831329202</v>
      </c>
      <c r="O26" s="14">
        <f t="shared" si="5"/>
        <v>-2439.011297558809</v>
      </c>
      <c r="P26" s="14">
        <f t="shared" si="5"/>
        <v>-2016.1577687162098</v>
      </c>
      <c r="Q26" s="14">
        <f t="shared" si="5"/>
        <v>-1339.3417467415843</v>
      </c>
      <c r="R26" s="14">
        <f t="shared" si="5"/>
        <v>-652.2788717097817</v>
      </c>
      <c r="S26" s="14">
        <f t="shared" si="5"/>
        <v>253.96960633295544</v>
      </c>
      <c r="T26" s="14">
        <f t="shared" si="5"/>
        <v>1142.2608224713156</v>
      </c>
      <c r="U26" s="14">
        <f t="shared" si="5"/>
        <v>1747.893686067069</v>
      </c>
      <c r="V26" s="14">
        <f t="shared" si="5"/>
        <v>2164.9386854456038</v>
      </c>
      <c r="W26" s="14">
        <f t="shared" si="5"/>
        <v>2475.1339682502035</v>
      </c>
      <c r="X26" s="14">
        <f t="shared" si="5"/>
        <v>2721.9366267646878</v>
      </c>
      <c r="Y26" s="14">
        <f t="shared" si="5"/>
        <v>2941.4749247115724</v>
      </c>
      <c r="Z26" s="14">
        <f t="shared" si="5"/>
        <v>3135.6378850479659</v>
      </c>
      <c r="AA26" s="14">
        <f t="shared" si="5"/>
        <v>3295.6144351071976</v>
      </c>
      <c r="AB26" s="14">
        <f t="shared" si="5"/>
        <v>3424.6986230085349</v>
      </c>
      <c r="AC26" s="14">
        <f t="shared" si="5"/>
        <v>3525.8626052268482</v>
      </c>
    </row>
    <row r="28" spans="1:29">
      <c r="A28" s="8" t="s">
        <v>143</v>
      </c>
      <c r="C28" s="29">
        <f>'Control Panel'!F33</f>
        <v>0.12</v>
      </c>
    </row>
    <row r="30" spans="1:29">
      <c r="A30" s="8" t="s">
        <v>149</v>
      </c>
      <c r="C30" s="9">
        <f>NPV(C28,H25:AC25)</f>
        <v>-474.08056786197449</v>
      </c>
    </row>
    <row r="32" spans="1:29">
      <c r="A32" s="8" t="s">
        <v>144</v>
      </c>
      <c r="C32" s="29">
        <f>IFERROR(IRR(H25:AC25),"Error")</f>
        <v>8.7496527156056159E-2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81"/>
  <sheetViews>
    <sheetView workbookViewId="0">
      <selection activeCell="B26" sqref="B26"/>
    </sheetView>
  </sheetViews>
  <sheetFormatPr defaultRowHeight="14.5" outlineLevelRow="1"/>
  <sheetData>
    <row r="1" spans="1:28" ht="18.5" thickBot="1">
      <c r="A1" s="16"/>
      <c r="B1" s="16" t="s">
        <v>74</v>
      </c>
      <c r="C1" s="15">
        <v>2015</v>
      </c>
      <c r="D1" s="15">
        <v>2016</v>
      </c>
      <c r="E1" s="15">
        <v>2017</v>
      </c>
      <c r="F1" s="15">
        <v>2018</v>
      </c>
      <c r="G1" s="15">
        <v>2019</v>
      </c>
      <c r="H1" s="15">
        <v>2020</v>
      </c>
      <c r="I1" s="15">
        <v>2021</v>
      </c>
      <c r="J1" s="15">
        <v>2022</v>
      </c>
      <c r="K1" s="15">
        <v>2023</v>
      </c>
      <c r="L1" s="15">
        <v>2024</v>
      </c>
      <c r="M1" s="15">
        <v>2025</v>
      </c>
      <c r="N1" s="15">
        <v>2026</v>
      </c>
      <c r="O1" s="15">
        <v>2027</v>
      </c>
      <c r="P1" s="15">
        <v>2028</v>
      </c>
      <c r="Q1" s="15">
        <v>2029</v>
      </c>
      <c r="R1" s="15">
        <v>2030</v>
      </c>
      <c r="S1" s="15">
        <v>2031</v>
      </c>
      <c r="T1" s="15">
        <v>2032</v>
      </c>
      <c r="U1" s="15">
        <v>2033</v>
      </c>
      <c r="V1" s="15">
        <v>2034</v>
      </c>
      <c r="W1" s="15">
        <v>2035</v>
      </c>
      <c r="X1" s="15">
        <v>2036</v>
      </c>
      <c r="Y1" s="15">
        <v>2037</v>
      </c>
      <c r="Z1" s="15">
        <v>2038</v>
      </c>
      <c r="AA1" s="15">
        <v>2039</v>
      </c>
      <c r="AB1" s="15">
        <v>2040</v>
      </c>
    </row>
    <row r="2" spans="1:28" outlineLevel="1">
      <c r="A2" s="8" t="s">
        <v>73</v>
      </c>
    </row>
    <row r="3" spans="1:28" outlineLevel="1">
      <c r="B3" t="s">
        <v>11</v>
      </c>
      <c r="C3">
        <f>'UN Population'!E6</f>
        <v>5395.5370000000003</v>
      </c>
      <c r="D3">
        <f>'UN Population'!F6</f>
        <v>5343.4160000000002</v>
      </c>
      <c r="E3">
        <f>'UN Population'!G6</f>
        <v>5293.1769999999997</v>
      </c>
      <c r="F3">
        <f>'UN Population'!H6</f>
        <v>5245.0739999999996</v>
      </c>
      <c r="G3">
        <f>'UN Population'!I6</f>
        <v>5195.9049999999997</v>
      </c>
      <c r="H3">
        <f>'UN Population'!J6</f>
        <v>5143.2780000000002</v>
      </c>
      <c r="I3">
        <f>'UN Population'!K6</f>
        <v>5088.05</v>
      </c>
      <c r="J3">
        <f>'UN Population'!L6</f>
        <v>5040.6989999999996</v>
      </c>
      <c r="K3">
        <f>'UN Population'!M6</f>
        <v>4998.2780000000002</v>
      </c>
      <c r="L3">
        <f>'UN Population'!N6</f>
        <v>4957.8440000000001</v>
      </c>
      <c r="M3">
        <f>'UN Population'!O6</f>
        <v>4916.7960000000003</v>
      </c>
      <c r="N3">
        <f>'UN Population'!P6</f>
        <v>4884.701</v>
      </c>
      <c r="O3">
        <f>'UN Population'!Q6</f>
        <v>4854.2110000000002</v>
      </c>
      <c r="P3">
        <f>'UN Population'!R6</f>
        <v>4824.7939999999999</v>
      </c>
      <c r="Q3">
        <f>'UN Population'!S6</f>
        <v>4796.6509999999998</v>
      </c>
      <c r="R3">
        <f>'UN Population'!T6</f>
        <v>4769.7700000000004</v>
      </c>
      <c r="S3">
        <f>'UN Population'!U6</f>
        <v>4753.5309999999999</v>
      </c>
      <c r="T3">
        <f>'UN Population'!V6</f>
        <v>4737.6509999999998</v>
      </c>
      <c r="U3">
        <f>'UN Population'!W6</f>
        <v>4721.8999999999996</v>
      </c>
      <c r="V3">
        <f>'UN Population'!X6</f>
        <v>4705.7889999999998</v>
      </c>
      <c r="W3">
        <f>'UN Population'!Y6</f>
        <v>4688.8680000000004</v>
      </c>
      <c r="X3">
        <f>'UN Population'!Z6</f>
        <v>4679.5</v>
      </c>
      <c r="Y3">
        <f>'UN Population'!AA6</f>
        <v>4669.4440000000004</v>
      </c>
      <c r="Z3">
        <f>'UN Population'!AB6</f>
        <v>4658.2299999999996</v>
      </c>
      <c r="AA3">
        <f>'UN Population'!AC6</f>
        <v>4645.26</v>
      </c>
      <c r="AB3">
        <f>'UN Population'!AD6</f>
        <v>4629.7969999999996</v>
      </c>
    </row>
    <row r="4" spans="1:28" outlineLevel="1">
      <c r="B4" t="s">
        <v>12</v>
      </c>
      <c r="C4">
        <f>'UN Population'!E7</f>
        <v>5559.9489999999996</v>
      </c>
      <c r="D4">
        <f>'UN Population'!F7</f>
        <v>5542.3389999999999</v>
      </c>
      <c r="E4">
        <f>'UN Population'!G7</f>
        <v>5516.7979999999998</v>
      </c>
      <c r="F4">
        <f>'UN Population'!H7</f>
        <v>5482.7879999999996</v>
      </c>
      <c r="G4">
        <f>'UN Population'!I7</f>
        <v>5442.2489999999998</v>
      </c>
      <c r="H4">
        <f>'UN Population'!J7</f>
        <v>5398.7430000000004</v>
      </c>
      <c r="I4">
        <f>'UN Population'!K7</f>
        <v>5359.1750000000002</v>
      </c>
      <c r="J4">
        <f>'UN Population'!L7</f>
        <v>5312.6629999999996</v>
      </c>
      <c r="K4">
        <f>'UN Population'!M7</f>
        <v>5259.991</v>
      </c>
      <c r="L4">
        <f>'UN Population'!N7</f>
        <v>5203.576</v>
      </c>
      <c r="M4">
        <f>'UN Population'!O7</f>
        <v>5147.0550000000003</v>
      </c>
      <c r="N4">
        <f>'UN Population'!P7</f>
        <v>5099.1149999999998</v>
      </c>
      <c r="O4">
        <f>'UN Population'!Q7</f>
        <v>5052.3180000000002</v>
      </c>
      <c r="P4">
        <f>'UN Population'!R7</f>
        <v>5007.3599999999997</v>
      </c>
      <c r="Q4">
        <f>'UN Population'!S7</f>
        <v>4963.9219999999996</v>
      </c>
      <c r="R4">
        <f>'UN Population'!T7</f>
        <v>4920.9970000000003</v>
      </c>
      <c r="S4">
        <f>'UN Population'!U7</f>
        <v>4886.7569999999996</v>
      </c>
      <c r="T4">
        <f>'UN Population'!V7</f>
        <v>4855.3720000000003</v>
      </c>
      <c r="U4">
        <f>'UN Population'!W7</f>
        <v>4826.8879999999999</v>
      </c>
      <c r="V4">
        <f>'UN Population'!X7</f>
        <v>4800.3980000000001</v>
      </c>
      <c r="W4">
        <f>'UN Population'!Y7</f>
        <v>4774.3050000000003</v>
      </c>
      <c r="X4">
        <f>'UN Population'!Z7</f>
        <v>4756.223</v>
      </c>
      <c r="Y4">
        <f>'UN Population'!AA7</f>
        <v>4739.6310000000003</v>
      </c>
      <c r="Z4">
        <f>'UN Population'!AB7</f>
        <v>4724.2290000000003</v>
      </c>
      <c r="AA4">
        <f>'UN Population'!AC7</f>
        <v>4709.277</v>
      </c>
      <c r="AB4">
        <f>'UN Population'!AD7</f>
        <v>4693.6509999999998</v>
      </c>
    </row>
    <row r="5" spans="1:28" outlineLevel="1">
      <c r="B5" t="s">
        <v>13</v>
      </c>
      <c r="C5">
        <f>'UN Population'!E8</f>
        <v>5670.0230000000001</v>
      </c>
      <c r="D5">
        <f>'UN Population'!F8</f>
        <v>5639.4709999999995</v>
      </c>
      <c r="E5">
        <f>'UN Population'!G8</f>
        <v>5618.7039999999997</v>
      </c>
      <c r="F5">
        <f>'UN Population'!H8</f>
        <v>5603.8419999999996</v>
      </c>
      <c r="G5">
        <f>'UN Population'!I8</f>
        <v>5587.2460000000001</v>
      </c>
      <c r="H5">
        <f>'UN Population'!J8</f>
        <v>5562.88</v>
      </c>
      <c r="I5">
        <f>'UN Population'!K8</f>
        <v>5543.3829999999998</v>
      </c>
      <c r="J5">
        <f>'UN Population'!L8</f>
        <v>5517.4859999999999</v>
      </c>
      <c r="K5">
        <f>'UN Population'!M8</f>
        <v>5485.3280000000004</v>
      </c>
      <c r="L5">
        <f>'UN Population'!N8</f>
        <v>5447.0349999999999</v>
      </c>
      <c r="M5">
        <f>'UN Population'!O8</f>
        <v>5401.9539999999997</v>
      </c>
      <c r="N5">
        <f>'UN Population'!P8</f>
        <v>5361.6760000000004</v>
      </c>
      <c r="O5">
        <f>'UN Population'!Q8</f>
        <v>5314.9679999999998</v>
      </c>
      <c r="P5">
        <f>'UN Population'!R8</f>
        <v>5262.759</v>
      </c>
      <c r="Q5">
        <f>'UN Population'!S8</f>
        <v>5207.2550000000001</v>
      </c>
      <c r="R5">
        <f>'UN Population'!T8</f>
        <v>5150.54</v>
      </c>
      <c r="S5">
        <f>'UN Population'!U8</f>
        <v>5105.4639999999999</v>
      </c>
      <c r="T5">
        <f>'UN Population'!V8</f>
        <v>5060.4949999999999</v>
      </c>
      <c r="U5">
        <f>'UN Population'!W8</f>
        <v>5015.259</v>
      </c>
      <c r="V5">
        <f>'UN Population'!X8</f>
        <v>4969.7749999999996</v>
      </c>
      <c r="W5">
        <f>'UN Population'!Y8</f>
        <v>4924.7</v>
      </c>
      <c r="X5">
        <f>'UN Population'!Z8</f>
        <v>4893.1239999999998</v>
      </c>
      <c r="Y5">
        <f>'UN Population'!AA8</f>
        <v>4863.4570000000003</v>
      </c>
      <c r="Z5">
        <f>'UN Population'!AB8</f>
        <v>4834.7920000000004</v>
      </c>
      <c r="AA5">
        <f>'UN Population'!AC8</f>
        <v>4806.4229999999998</v>
      </c>
      <c r="AB5">
        <f>'UN Population'!AD8</f>
        <v>4778.174</v>
      </c>
    </row>
    <row r="6" spans="1:28" outlineLevel="1">
      <c r="B6" t="s">
        <v>14</v>
      </c>
      <c r="C6">
        <f>'UN Population'!E9</f>
        <v>5979.6970000000001</v>
      </c>
      <c r="D6">
        <f>'UN Population'!F9</f>
        <v>5940.74</v>
      </c>
      <c r="E6">
        <f>'UN Population'!G9</f>
        <v>5882.076</v>
      </c>
      <c r="F6">
        <f>'UN Population'!H9</f>
        <v>5811.97</v>
      </c>
      <c r="G6">
        <f>'UN Population'!I9</f>
        <v>5745.6170000000002</v>
      </c>
      <c r="H6">
        <f>'UN Population'!J9</f>
        <v>5692.2179999999998</v>
      </c>
      <c r="I6">
        <f>'UN Population'!K9</f>
        <v>5661.0150000000003</v>
      </c>
      <c r="J6">
        <f>'UN Population'!L9</f>
        <v>5641.0050000000001</v>
      </c>
      <c r="K6">
        <f>'UN Population'!M9</f>
        <v>5626.9780000000001</v>
      </c>
      <c r="L6">
        <f>'UN Population'!N9</f>
        <v>5610.3990000000003</v>
      </c>
      <c r="M6">
        <f>'UN Population'!O9</f>
        <v>5585.5140000000001</v>
      </c>
      <c r="N6">
        <f>'UN Population'!P9</f>
        <v>5565.81</v>
      </c>
      <c r="O6">
        <f>'UN Population'!Q9</f>
        <v>5540.8519999999999</v>
      </c>
      <c r="P6">
        <f>'UN Population'!R9</f>
        <v>5509.3919999999998</v>
      </c>
      <c r="Q6">
        <f>'UN Population'!S9</f>
        <v>5470.87</v>
      </c>
      <c r="R6">
        <f>'UN Population'!T9</f>
        <v>5424.9870000000001</v>
      </c>
      <c r="S6">
        <f>'UN Population'!U9</f>
        <v>5384.5150000000003</v>
      </c>
      <c r="T6">
        <f>'UN Population'!V9</f>
        <v>5337.97</v>
      </c>
      <c r="U6">
        <f>'UN Population'!W9</f>
        <v>5286.0950000000003</v>
      </c>
      <c r="V6">
        <f>'UN Population'!X9</f>
        <v>5230.93</v>
      </c>
      <c r="W6">
        <f>'UN Population'!Y9</f>
        <v>5173.9769999999999</v>
      </c>
      <c r="X6">
        <f>'UN Population'!Z9</f>
        <v>5128.4110000000001</v>
      </c>
      <c r="Y6">
        <f>'UN Population'!AA9</f>
        <v>5083.3180000000002</v>
      </c>
      <c r="Z6">
        <f>'UN Population'!AB9</f>
        <v>5038.3100000000004</v>
      </c>
      <c r="AA6">
        <f>'UN Population'!AC9</f>
        <v>4993.348</v>
      </c>
      <c r="AB6">
        <f>'UN Population'!AD9</f>
        <v>4948.4570000000003</v>
      </c>
    </row>
    <row r="7" spans="1:28" outlineLevel="1">
      <c r="A7" t="s">
        <v>34</v>
      </c>
      <c r="B7" t="s">
        <v>15</v>
      </c>
      <c r="C7">
        <f>'UN Population'!E10</f>
        <v>6139.0479999999998</v>
      </c>
      <c r="D7">
        <f>'UN Population'!F10</f>
        <v>6091.5039999999999</v>
      </c>
      <c r="E7">
        <f>'UN Population'!G10</f>
        <v>6070.2759999999998</v>
      </c>
      <c r="F7">
        <f>'UN Population'!H10</f>
        <v>6062.9279999999999</v>
      </c>
      <c r="G7">
        <f>'UN Population'!I10</f>
        <v>6049.7049999999999</v>
      </c>
      <c r="H7">
        <f>'UN Population'!J10</f>
        <v>6017.7269999999999</v>
      </c>
      <c r="I7">
        <f>'UN Population'!K10</f>
        <v>5976.4769999999999</v>
      </c>
      <c r="J7">
        <f>'UN Population'!L10</f>
        <v>5916.79</v>
      </c>
      <c r="K7">
        <f>'UN Population'!M10</f>
        <v>5847.2979999999998</v>
      </c>
      <c r="L7">
        <f>'UN Population'!N10</f>
        <v>5782.7330000000002</v>
      </c>
      <c r="M7">
        <f>'UN Population'!O10</f>
        <v>5731.3959999999997</v>
      </c>
      <c r="N7">
        <f>'UN Population'!P10</f>
        <v>5698.4170000000004</v>
      </c>
      <c r="O7">
        <f>'UN Population'!Q10</f>
        <v>5677.65</v>
      </c>
      <c r="P7">
        <f>'UN Population'!R10</f>
        <v>5664.0219999999999</v>
      </c>
      <c r="Q7">
        <f>'UN Population'!S10</f>
        <v>5648.732</v>
      </c>
      <c r="R7">
        <f>'UN Population'!T10</f>
        <v>5625.4579999999996</v>
      </c>
      <c r="S7">
        <f>'UN Population'!U10</f>
        <v>5604.2070000000003</v>
      </c>
      <c r="T7">
        <f>'UN Population'!V10</f>
        <v>5578.4459999999999</v>
      </c>
      <c r="U7">
        <f>'UN Population'!W10</f>
        <v>5547.232</v>
      </c>
      <c r="V7">
        <f>'UN Population'!X10</f>
        <v>5509.9059999999999</v>
      </c>
      <c r="W7">
        <f>'UN Population'!Y10</f>
        <v>5465.6790000000001</v>
      </c>
      <c r="X7">
        <f>'UN Population'!Z10</f>
        <v>5423.3249999999998</v>
      </c>
      <c r="Y7">
        <f>'UN Population'!AA10</f>
        <v>5375.6959999999999</v>
      </c>
      <c r="Z7">
        <f>'UN Population'!AB10</f>
        <v>5323.991</v>
      </c>
      <c r="AA7">
        <f>'UN Population'!AC10</f>
        <v>5270.259</v>
      </c>
      <c r="AB7">
        <f>'UN Population'!AD10</f>
        <v>5215.4579999999996</v>
      </c>
    </row>
    <row r="8" spans="1:28" outlineLevel="1">
      <c r="A8" t="s">
        <v>34</v>
      </c>
      <c r="B8" t="s">
        <v>16</v>
      </c>
      <c r="C8">
        <f>'UN Population'!E11</f>
        <v>6756.33</v>
      </c>
      <c r="D8">
        <f>'UN Population'!F11</f>
        <v>6613.9660000000003</v>
      </c>
      <c r="E8">
        <f>'UN Population'!G11</f>
        <v>6477.8890000000001</v>
      </c>
      <c r="F8">
        <f>'UN Population'!H11</f>
        <v>6353.8530000000001</v>
      </c>
      <c r="G8">
        <f>'UN Population'!I11</f>
        <v>6250.3580000000002</v>
      </c>
      <c r="H8">
        <f>'UN Population'!J11</f>
        <v>6171.5709999999999</v>
      </c>
      <c r="I8">
        <f>'UN Population'!K11</f>
        <v>6123.4650000000001</v>
      </c>
      <c r="J8">
        <f>'UN Population'!L11</f>
        <v>6102.2439999999997</v>
      </c>
      <c r="K8">
        <f>'UN Population'!M11</f>
        <v>6095.3230000000003</v>
      </c>
      <c r="L8">
        <f>'UN Population'!N11</f>
        <v>6082.6790000000001</v>
      </c>
      <c r="M8">
        <f>'UN Population'!O11</f>
        <v>6051.5</v>
      </c>
      <c r="N8">
        <f>'UN Population'!P11</f>
        <v>6010.1769999999997</v>
      </c>
      <c r="O8">
        <f>'UN Population'!Q11</f>
        <v>5950.8810000000003</v>
      </c>
      <c r="P8">
        <f>'UN Population'!R11</f>
        <v>5881.7780000000002</v>
      </c>
      <c r="Q8">
        <f>'UN Population'!S11</f>
        <v>5817.4480000000003</v>
      </c>
      <c r="R8">
        <f>'UN Population'!T11</f>
        <v>5766.5429999999997</v>
      </c>
      <c r="S8">
        <f>'UN Population'!U11</f>
        <v>5733.7520000000004</v>
      </c>
      <c r="T8">
        <f>'UN Population'!V11</f>
        <v>5713.2550000000001</v>
      </c>
      <c r="U8">
        <f>'UN Population'!W11</f>
        <v>5699.7370000000001</v>
      </c>
      <c r="V8">
        <f>'UN Population'!X11</f>
        <v>5684.4750000000004</v>
      </c>
      <c r="W8">
        <f>'UN Population'!Y11</f>
        <v>5661.6139999999996</v>
      </c>
      <c r="X8">
        <f>'UN Population'!Z11</f>
        <v>5640.1450000000004</v>
      </c>
      <c r="Y8">
        <f>'UN Population'!AA11</f>
        <v>5614.3230000000003</v>
      </c>
      <c r="Z8">
        <f>'UN Population'!AB11</f>
        <v>5583.1220000000003</v>
      </c>
      <c r="AA8">
        <f>'UN Population'!AC11</f>
        <v>5546.0649999999996</v>
      </c>
      <c r="AB8">
        <f>'UN Population'!AD11</f>
        <v>5502.78</v>
      </c>
    </row>
    <row r="9" spans="1:28" outlineLevel="1">
      <c r="A9" t="s">
        <v>35</v>
      </c>
      <c r="B9" t="s">
        <v>17</v>
      </c>
      <c r="C9">
        <f>'UN Population'!E12</f>
        <v>7609.4380000000001</v>
      </c>
      <c r="D9">
        <f>'UN Population'!F12</f>
        <v>7447.3620000000001</v>
      </c>
      <c r="E9">
        <f>'UN Population'!G12</f>
        <v>7276.8370000000004</v>
      </c>
      <c r="F9">
        <f>'UN Population'!H12</f>
        <v>7102.4650000000001</v>
      </c>
      <c r="G9">
        <f>'UN Population'!I12</f>
        <v>6933.2430000000004</v>
      </c>
      <c r="H9">
        <f>'UN Population'!J12</f>
        <v>6775.0370000000003</v>
      </c>
      <c r="I9">
        <f>'UN Population'!K12</f>
        <v>6632.5829999999996</v>
      </c>
      <c r="J9">
        <f>'UN Population'!L12</f>
        <v>6496.9179999999997</v>
      </c>
      <c r="K9">
        <f>'UN Population'!M12</f>
        <v>6373.6930000000002</v>
      </c>
      <c r="L9">
        <f>'UN Population'!N12</f>
        <v>6271.027</v>
      </c>
      <c r="M9">
        <f>'UN Population'!O12</f>
        <v>6192.7780000000002</v>
      </c>
      <c r="N9">
        <f>'UN Population'!P12</f>
        <v>6144.9610000000002</v>
      </c>
      <c r="O9">
        <f>'UN Population'!Q12</f>
        <v>6124.2340000000004</v>
      </c>
      <c r="P9">
        <f>'UN Population'!R12</f>
        <v>6117.6970000000001</v>
      </c>
      <c r="Q9">
        <f>'UN Population'!S12</f>
        <v>6105.192</v>
      </c>
      <c r="R9">
        <f>'UN Population'!T12</f>
        <v>6073.9639999999999</v>
      </c>
      <c r="S9">
        <f>'UN Population'!U12</f>
        <v>6033.192</v>
      </c>
      <c r="T9">
        <f>'UN Population'!V12</f>
        <v>5974.3990000000003</v>
      </c>
      <c r="U9">
        <f>'UN Population'!W12</f>
        <v>5905.5990000000002</v>
      </c>
      <c r="V9">
        <f>'UN Population'!X12</f>
        <v>5841.3739999999998</v>
      </c>
      <c r="W9">
        <f>'UN Population'!Y12</f>
        <v>5790.4960000000001</v>
      </c>
      <c r="X9">
        <f>'UN Population'!Z12</f>
        <v>5757.9030000000002</v>
      </c>
      <c r="Y9">
        <f>'UN Population'!AA12</f>
        <v>5737.5190000000002</v>
      </c>
      <c r="Z9">
        <f>'UN Population'!AB12</f>
        <v>5724.0609999999997</v>
      </c>
      <c r="AA9">
        <f>'UN Population'!AC12</f>
        <v>5708.9809999999998</v>
      </c>
      <c r="AB9">
        <f>'UN Population'!AD12</f>
        <v>5686.549</v>
      </c>
    </row>
    <row r="10" spans="1:28" outlineLevel="1">
      <c r="A10" t="s">
        <v>35</v>
      </c>
      <c r="B10" t="s">
        <v>18</v>
      </c>
      <c r="C10">
        <f>'UN Population'!E13</f>
        <v>8480.8230000000003</v>
      </c>
      <c r="D10">
        <f>'UN Population'!F13</f>
        <v>8221.6479999999992</v>
      </c>
      <c r="E10">
        <f>'UN Population'!G13</f>
        <v>8036.0739999999996</v>
      </c>
      <c r="F10">
        <f>'UN Population'!H13</f>
        <v>7900.5249999999996</v>
      </c>
      <c r="G10">
        <f>'UN Population'!I13</f>
        <v>7768.451</v>
      </c>
      <c r="H10">
        <f>'UN Population'!J13</f>
        <v>7611.1</v>
      </c>
      <c r="I10">
        <f>'UN Population'!K13</f>
        <v>7448.9690000000001</v>
      </c>
      <c r="J10">
        <f>'UN Population'!L13</f>
        <v>7279.1149999999998</v>
      </c>
      <c r="K10">
        <f>'UN Population'!M13</f>
        <v>7105.99</v>
      </c>
      <c r="L10">
        <f>'UN Population'!N13</f>
        <v>6938.0529999999999</v>
      </c>
      <c r="M10">
        <f>'UN Population'!O13</f>
        <v>6780.6930000000002</v>
      </c>
      <c r="N10">
        <f>'UN Population'!P13</f>
        <v>6638.8410000000003</v>
      </c>
      <c r="O10">
        <f>'UN Population'!Q13</f>
        <v>6504.0870000000004</v>
      </c>
      <c r="P10">
        <f>'UN Population'!R13</f>
        <v>6381.6689999999999</v>
      </c>
      <c r="Q10">
        <f>'UN Population'!S13</f>
        <v>6279.4579999999996</v>
      </c>
      <c r="R10">
        <f>'UN Population'!T13</f>
        <v>6201.27</v>
      </c>
      <c r="S10">
        <f>'UN Population'!U13</f>
        <v>6154.116</v>
      </c>
      <c r="T10">
        <f>'UN Population'!V13</f>
        <v>6133.9489999999996</v>
      </c>
      <c r="U10">
        <f>'UN Population'!W13</f>
        <v>6127.7150000000001</v>
      </c>
      <c r="V10">
        <f>'UN Population'!X13</f>
        <v>6115.2709999999997</v>
      </c>
      <c r="W10">
        <f>'UN Population'!Y13</f>
        <v>6083.9409999999998</v>
      </c>
      <c r="X10">
        <f>'UN Population'!Z13</f>
        <v>6043.4129999999996</v>
      </c>
      <c r="Y10">
        <f>'UN Population'!AA13</f>
        <v>5984.9080000000004</v>
      </c>
      <c r="Z10">
        <f>'UN Population'!AB13</f>
        <v>5916.42</v>
      </c>
      <c r="AA10">
        <f>'UN Population'!AC13</f>
        <v>5852.5879999999997</v>
      </c>
      <c r="AB10">
        <f>'UN Population'!AD13</f>
        <v>5802.165</v>
      </c>
    </row>
    <row r="11" spans="1:28" outlineLevel="1">
      <c r="A11" t="s">
        <v>36</v>
      </c>
      <c r="B11" t="s">
        <v>19</v>
      </c>
      <c r="C11">
        <f>'UN Population'!E14</f>
        <v>10046.01</v>
      </c>
      <c r="D11">
        <f>'UN Population'!F14</f>
        <v>9929.3109999999997</v>
      </c>
      <c r="E11">
        <f>'UN Population'!G14</f>
        <v>9625.9310000000005</v>
      </c>
      <c r="F11">
        <f>'UN Population'!H14</f>
        <v>9207.83</v>
      </c>
      <c r="G11">
        <f>'UN Population'!I14</f>
        <v>8794.3369999999995</v>
      </c>
      <c r="H11">
        <f>'UN Population'!J14</f>
        <v>8460.9840000000004</v>
      </c>
      <c r="I11">
        <f>'UN Population'!K14</f>
        <v>8202.7000000000007</v>
      </c>
      <c r="J11">
        <f>'UN Population'!L14</f>
        <v>8018.3360000000002</v>
      </c>
      <c r="K11">
        <f>'UN Population'!M14</f>
        <v>7884.183</v>
      </c>
      <c r="L11">
        <f>'UN Population'!N14</f>
        <v>7753.5010000000002</v>
      </c>
      <c r="M11">
        <f>'UN Population'!O14</f>
        <v>7597.3450000000003</v>
      </c>
      <c r="N11">
        <f>'UN Population'!P14</f>
        <v>7435.9920000000002</v>
      </c>
      <c r="O11">
        <f>'UN Population'!Q14</f>
        <v>7267.4849999999997</v>
      </c>
      <c r="P11">
        <f>'UN Population'!R14</f>
        <v>7095.7640000000001</v>
      </c>
      <c r="Q11">
        <f>'UN Population'!S14</f>
        <v>6928.9179999999997</v>
      </c>
      <c r="R11">
        <f>'UN Population'!T14</f>
        <v>6772.2219999999998</v>
      </c>
      <c r="S11">
        <f>'UN Population'!U14</f>
        <v>6631.4409999999998</v>
      </c>
      <c r="T11">
        <f>'UN Population'!V14</f>
        <v>6497.7569999999996</v>
      </c>
      <c r="U11">
        <f>'UN Population'!W14</f>
        <v>6376.1779999999999</v>
      </c>
      <c r="V11">
        <f>'UN Population'!X14</f>
        <v>6274.5159999999996</v>
      </c>
      <c r="W11">
        <f>'UN Population'!Y14</f>
        <v>6196.6310000000003</v>
      </c>
      <c r="X11">
        <f>'UN Population'!Z14</f>
        <v>6149.82</v>
      </c>
      <c r="Y11">
        <f>'UN Population'!AA14</f>
        <v>6129.9870000000001</v>
      </c>
      <c r="Z11">
        <f>'UN Population'!AB14</f>
        <v>6124.067</v>
      </c>
      <c r="AA11">
        <f>'UN Population'!AC14</f>
        <v>6112.0389999999998</v>
      </c>
      <c r="AB11">
        <f>'UN Population'!AD14</f>
        <v>6081.2820000000002</v>
      </c>
    </row>
    <row r="12" spans="1:28" outlineLevel="1">
      <c r="A12" t="s">
        <v>36</v>
      </c>
      <c r="B12" t="s">
        <v>20</v>
      </c>
      <c r="C12">
        <f>'UN Population'!E15</f>
        <v>8721.8729999999996</v>
      </c>
      <c r="D12">
        <f>'UN Population'!F15</f>
        <v>9005.2790000000005</v>
      </c>
      <c r="E12">
        <f>'UN Population'!G15</f>
        <v>9359.1679999999997</v>
      </c>
      <c r="F12">
        <f>'UN Population'!H15</f>
        <v>9709.5429999999997</v>
      </c>
      <c r="G12">
        <f>'UN Population'!I15</f>
        <v>9942.741</v>
      </c>
      <c r="H12">
        <f>'UN Population'!J15</f>
        <v>9990.8269999999993</v>
      </c>
      <c r="I12">
        <f>'UN Population'!K15</f>
        <v>9873.61</v>
      </c>
      <c r="J12">
        <f>'UN Population'!L15</f>
        <v>9572.3330000000005</v>
      </c>
      <c r="K12">
        <f>'UN Population'!M15</f>
        <v>9158.4940000000006</v>
      </c>
      <c r="L12">
        <f>'UN Population'!N15</f>
        <v>8749.7950000000001</v>
      </c>
      <c r="M12">
        <f>'UN Population'!O15</f>
        <v>8420.3739999999998</v>
      </c>
      <c r="N12">
        <f>'UN Population'!P15</f>
        <v>8164.3630000000003</v>
      </c>
      <c r="O12">
        <f>'UN Population'!Q15</f>
        <v>7982.1170000000002</v>
      </c>
      <c r="P12">
        <f>'UN Population'!R15</f>
        <v>7849.5720000000001</v>
      </c>
      <c r="Q12">
        <f>'UN Population'!S15</f>
        <v>7720.1750000000002</v>
      </c>
      <c r="R12">
        <f>'UN Population'!T15</f>
        <v>7565.2749999999996</v>
      </c>
      <c r="S12">
        <f>'UN Population'!U15</f>
        <v>7405.3639999999996</v>
      </c>
      <c r="T12">
        <f>'UN Population'!V15</f>
        <v>7238.5230000000001</v>
      </c>
      <c r="U12">
        <f>'UN Population'!W15</f>
        <v>7068.4780000000001</v>
      </c>
      <c r="V12">
        <f>'UN Population'!X15</f>
        <v>6903.1549999999997</v>
      </c>
      <c r="W12">
        <f>'UN Population'!Y15</f>
        <v>6747.7420000000002</v>
      </c>
      <c r="X12">
        <f>'UN Population'!Z15</f>
        <v>6607.8609999999999</v>
      </c>
      <c r="Y12">
        <f>'UN Population'!AA15</f>
        <v>6475.1549999999997</v>
      </c>
      <c r="Z12">
        <f>'UN Population'!AB15</f>
        <v>6354.634</v>
      </c>
      <c r="AA12">
        <f>'UN Population'!AC15</f>
        <v>6254.1689999999999</v>
      </c>
      <c r="AB12">
        <f>'UN Population'!AD15</f>
        <v>6177.5630000000001</v>
      </c>
    </row>
    <row r="13" spans="1:28" outlineLevel="1">
      <c r="A13" t="s">
        <v>37</v>
      </c>
      <c r="B13" t="s">
        <v>21</v>
      </c>
      <c r="C13">
        <f>'UN Population'!E16</f>
        <v>7988.2250000000004</v>
      </c>
      <c r="D13">
        <f>'UN Population'!F16</f>
        <v>8087.3249999999998</v>
      </c>
      <c r="E13">
        <f>'UN Population'!G16</f>
        <v>8175.11</v>
      </c>
      <c r="F13">
        <f>'UN Population'!H16</f>
        <v>8273.8230000000003</v>
      </c>
      <c r="G13">
        <f>'UN Population'!I16</f>
        <v>8422.7029999999995</v>
      </c>
      <c r="H13">
        <f>'UN Population'!J16</f>
        <v>8639.3050000000003</v>
      </c>
      <c r="I13">
        <f>'UN Population'!K16</f>
        <v>8920.1419999999998</v>
      </c>
      <c r="J13">
        <f>'UN Population'!L16</f>
        <v>9271.9629999999997</v>
      </c>
      <c r="K13">
        <f>'UN Population'!M16</f>
        <v>9620.9920000000002</v>
      </c>
      <c r="L13">
        <f>'UN Population'!N16</f>
        <v>9853.8070000000007</v>
      </c>
      <c r="M13">
        <f>'UN Population'!O16</f>
        <v>9902.6090000000004</v>
      </c>
      <c r="N13">
        <f>'UN Population'!P16</f>
        <v>9786.2630000000008</v>
      </c>
      <c r="O13">
        <f>'UN Population'!Q16</f>
        <v>9488.8729999999996</v>
      </c>
      <c r="P13">
        <f>'UN Population'!R16</f>
        <v>9080.6810000000005</v>
      </c>
      <c r="Q13">
        <f>'UN Population'!S16</f>
        <v>8677.6859999999997</v>
      </c>
      <c r="R13">
        <f>'UN Population'!T16</f>
        <v>8352.9529999999995</v>
      </c>
      <c r="S13">
        <f>'UN Population'!U16</f>
        <v>8100.8819999999996</v>
      </c>
      <c r="T13">
        <f>'UN Population'!V16</f>
        <v>7921.7420000000002</v>
      </c>
      <c r="U13">
        <f>'UN Population'!W16</f>
        <v>7791.2349999999997</v>
      </c>
      <c r="V13">
        <f>'UN Population'!X16</f>
        <v>7663.4440000000004</v>
      </c>
      <c r="W13">
        <f>'UN Population'!Y16</f>
        <v>7510.4110000000001</v>
      </c>
      <c r="X13">
        <f>'UN Population'!Z16</f>
        <v>7352.1350000000002</v>
      </c>
      <c r="Y13">
        <f>'UN Population'!AA16</f>
        <v>7187.3450000000003</v>
      </c>
      <c r="Z13">
        <f>'UN Population'!AB16</f>
        <v>7019.5789999999997</v>
      </c>
      <c r="AA13">
        <f>'UN Population'!AC16</f>
        <v>6856.652</v>
      </c>
      <c r="AB13">
        <f>'UN Population'!AD16</f>
        <v>6703.683</v>
      </c>
    </row>
    <row r="14" spans="1:28" outlineLevel="1">
      <c r="A14" t="s">
        <v>37</v>
      </c>
      <c r="B14" t="s">
        <v>22</v>
      </c>
      <c r="C14">
        <f>'UN Population'!E17</f>
        <v>7660.9939999999997</v>
      </c>
      <c r="D14">
        <f>'UN Population'!F17</f>
        <v>7592.4430000000002</v>
      </c>
      <c r="E14">
        <f>'UN Population'!G17</f>
        <v>7604.835</v>
      </c>
      <c r="F14">
        <f>'UN Population'!H17</f>
        <v>7676.3509999999997</v>
      </c>
      <c r="G14">
        <f>'UN Population'!I17</f>
        <v>7771.2539999999999</v>
      </c>
      <c r="H14">
        <f>'UN Population'!J17</f>
        <v>7866.8459999999995</v>
      </c>
      <c r="I14">
        <f>'UN Population'!K17</f>
        <v>7963.9350000000004</v>
      </c>
      <c r="J14">
        <f>'UN Population'!L17</f>
        <v>8051.2510000000002</v>
      </c>
      <c r="K14">
        <f>'UN Population'!M17</f>
        <v>8150.8450000000003</v>
      </c>
      <c r="L14">
        <f>'UN Population'!N17</f>
        <v>8300.8670000000002</v>
      </c>
      <c r="M14">
        <f>'UN Population'!O17</f>
        <v>8517.8310000000001</v>
      </c>
      <c r="N14">
        <f>'UN Population'!P17</f>
        <v>8795.7849999999999</v>
      </c>
      <c r="O14">
        <f>'UN Population'!Q17</f>
        <v>9144.93</v>
      </c>
      <c r="P14">
        <f>'UN Population'!R17</f>
        <v>9491.6350000000002</v>
      </c>
      <c r="Q14">
        <f>'UN Population'!S17</f>
        <v>9723.2579999999998</v>
      </c>
      <c r="R14">
        <f>'UN Population'!T17</f>
        <v>9772.76</v>
      </c>
      <c r="S14">
        <f>'UN Population'!U17</f>
        <v>9657.9609999999993</v>
      </c>
      <c r="T14">
        <f>'UN Population'!V17</f>
        <v>9365.6080000000002</v>
      </c>
      <c r="U14">
        <f>'UN Population'!W17</f>
        <v>8965.009</v>
      </c>
      <c r="V14">
        <f>'UN Population'!X17</f>
        <v>8570.2479999999996</v>
      </c>
      <c r="W14">
        <f>'UN Population'!Y17</f>
        <v>8252.8080000000009</v>
      </c>
      <c r="X14">
        <f>'UN Population'!Z17</f>
        <v>8005.3050000000003</v>
      </c>
      <c r="Y14">
        <f>'UN Population'!AA17</f>
        <v>7829.6769999999997</v>
      </c>
      <c r="Z14">
        <f>'UN Population'!AB17</f>
        <v>7701.8469999999998</v>
      </c>
      <c r="AA14">
        <f>'UN Population'!AC17</f>
        <v>7576.97</v>
      </c>
      <c r="AB14">
        <f>'UN Population'!AD17</f>
        <v>7427.7780000000002</v>
      </c>
    </row>
    <row r="15" spans="1:28" outlineLevel="1">
      <c r="A15" t="s">
        <v>38</v>
      </c>
      <c r="B15" t="s">
        <v>23</v>
      </c>
      <c r="C15">
        <f>'UN Population'!E18</f>
        <v>8673.8590000000004</v>
      </c>
      <c r="D15">
        <f>'UN Population'!F18</f>
        <v>8357.875</v>
      </c>
      <c r="E15">
        <f>'UN Population'!G18</f>
        <v>8064.8450000000003</v>
      </c>
      <c r="F15">
        <f>'UN Population'!H18</f>
        <v>7810.3630000000003</v>
      </c>
      <c r="G15">
        <f>'UN Population'!I18</f>
        <v>7611.3770000000004</v>
      </c>
      <c r="H15">
        <f>'UN Population'!J18</f>
        <v>7478.1660000000002</v>
      </c>
      <c r="I15">
        <f>'UN Population'!K18</f>
        <v>7412.6220000000003</v>
      </c>
      <c r="J15">
        <f>'UN Population'!L18</f>
        <v>7426.9489999999996</v>
      </c>
      <c r="K15">
        <f>'UN Population'!M18</f>
        <v>7499.857</v>
      </c>
      <c r="L15">
        <f>'UN Population'!N18</f>
        <v>7596.0680000000002</v>
      </c>
      <c r="M15">
        <f>'UN Population'!O18</f>
        <v>7693.0119999999997</v>
      </c>
      <c r="N15">
        <f>'UN Population'!P18</f>
        <v>7788.6310000000003</v>
      </c>
      <c r="O15">
        <f>'UN Population'!Q18</f>
        <v>7875.8360000000002</v>
      </c>
      <c r="P15">
        <f>'UN Population'!R18</f>
        <v>7976.2309999999998</v>
      </c>
      <c r="Q15">
        <f>'UN Population'!S18</f>
        <v>8126.83</v>
      </c>
      <c r="R15">
        <f>'UN Population'!T18</f>
        <v>8343.3330000000005</v>
      </c>
      <c r="S15">
        <f>'UN Population'!U18</f>
        <v>8618.2099999999991</v>
      </c>
      <c r="T15">
        <f>'UN Population'!V18</f>
        <v>8963.6280000000006</v>
      </c>
      <c r="U15">
        <f>'UN Population'!W18</f>
        <v>9306.7610000000004</v>
      </c>
      <c r="V15">
        <f>'UN Population'!X18</f>
        <v>9536.518</v>
      </c>
      <c r="W15">
        <f>'UN Population'!Y18</f>
        <v>9587.1110000000008</v>
      </c>
      <c r="X15">
        <f>'UN Population'!Z18</f>
        <v>9474.02</v>
      </c>
      <c r="Y15">
        <f>'UN Population'!AA18</f>
        <v>9188.1170000000002</v>
      </c>
      <c r="Z15">
        <f>'UN Population'!AB18</f>
        <v>8797.9500000000007</v>
      </c>
      <c r="AA15">
        <f>'UN Population'!AC18</f>
        <v>8415.0239999999994</v>
      </c>
      <c r="AB15">
        <f>'UN Population'!AD18</f>
        <v>8108.4189999999999</v>
      </c>
    </row>
    <row r="16" spans="1:28" outlineLevel="1">
      <c r="A16" t="s">
        <v>38</v>
      </c>
      <c r="B16" t="s">
        <v>24</v>
      </c>
      <c r="C16">
        <f>'UN Population'!E19</f>
        <v>9627.2160000000003</v>
      </c>
      <c r="D16">
        <f>'UN Population'!F19</f>
        <v>9560.5789999999997</v>
      </c>
      <c r="E16">
        <f>'UN Population'!G19</f>
        <v>9340.0820000000003</v>
      </c>
      <c r="F16">
        <f>'UN Population'!H19</f>
        <v>9016.4290000000001</v>
      </c>
      <c r="G16">
        <f>'UN Population'!I19</f>
        <v>8671.0300000000007</v>
      </c>
      <c r="H16">
        <f>'UN Population'!J19</f>
        <v>8356.2960000000003</v>
      </c>
      <c r="I16">
        <f>'UN Population'!K19</f>
        <v>8055.4070000000002</v>
      </c>
      <c r="J16">
        <f>'UN Population'!L19</f>
        <v>7777.4549999999999</v>
      </c>
      <c r="K16">
        <f>'UN Population'!M19</f>
        <v>7536.2290000000003</v>
      </c>
      <c r="L16">
        <f>'UN Population'!N19</f>
        <v>7348.4979999999996</v>
      </c>
      <c r="M16">
        <f>'UN Population'!O19</f>
        <v>7225.0680000000002</v>
      </c>
      <c r="N16">
        <f>'UN Population'!P19</f>
        <v>7164.8249999999998</v>
      </c>
      <c r="O16">
        <f>'UN Population'!Q19</f>
        <v>7183.2219999999998</v>
      </c>
      <c r="P16">
        <f>'UN Population'!R19</f>
        <v>7258.0510000000004</v>
      </c>
      <c r="Q16">
        <f>'UN Population'!S19</f>
        <v>7354.64</v>
      </c>
      <c r="R16">
        <f>'UN Population'!T19</f>
        <v>7451.6440000000002</v>
      </c>
      <c r="S16">
        <f>'UN Population'!U19</f>
        <v>7546.3540000000003</v>
      </c>
      <c r="T16">
        <f>'UN Population'!V19</f>
        <v>7634.4250000000002</v>
      </c>
      <c r="U16">
        <f>'UN Population'!W19</f>
        <v>7736.0789999999997</v>
      </c>
      <c r="V16">
        <f>'UN Population'!X19</f>
        <v>7886.8450000000003</v>
      </c>
      <c r="W16">
        <f>'UN Population'!Y19</f>
        <v>8101.9179999999997</v>
      </c>
      <c r="X16">
        <f>'UN Population'!Z19</f>
        <v>8372.3389999999999</v>
      </c>
      <c r="Y16">
        <f>'UN Population'!AA19</f>
        <v>8712.875</v>
      </c>
      <c r="Z16">
        <f>'UN Population'!AB19</f>
        <v>9050.9709999999995</v>
      </c>
      <c r="AA16">
        <f>'UN Population'!AC19</f>
        <v>9277.7250000000004</v>
      </c>
      <c r="AB16">
        <f>'UN Population'!AD19</f>
        <v>9329.6049999999996</v>
      </c>
    </row>
    <row r="17" spans="1:28" outlineLevel="1">
      <c r="A17" t="s">
        <v>39</v>
      </c>
      <c r="B17" t="s">
        <v>25</v>
      </c>
      <c r="C17">
        <f>'UN Population'!E20</f>
        <v>7704.3249999999998</v>
      </c>
      <c r="D17">
        <f>'UN Population'!F20</f>
        <v>7995.4210000000003</v>
      </c>
      <c r="E17">
        <f>'UN Population'!G20</f>
        <v>8360.3649999999998</v>
      </c>
      <c r="F17">
        <f>'UN Population'!H20</f>
        <v>8727.7049999999999</v>
      </c>
      <c r="G17">
        <f>'UN Population'!I20</f>
        <v>8993.3109999999997</v>
      </c>
      <c r="H17">
        <f>'UN Population'!J20</f>
        <v>9097.1440000000002</v>
      </c>
      <c r="I17">
        <f>'UN Population'!K20</f>
        <v>9028.7489999999998</v>
      </c>
      <c r="J17">
        <f>'UN Population'!L20</f>
        <v>8822.8979999999992</v>
      </c>
      <c r="K17">
        <f>'UN Population'!M20</f>
        <v>8526.6919999999991</v>
      </c>
      <c r="L17">
        <f>'UN Population'!N20</f>
        <v>8214.1170000000002</v>
      </c>
      <c r="M17">
        <f>'UN Population'!O20</f>
        <v>7931.2669999999998</v>
      </c>
      <c r="N17">
        <f>'UN Population'!P20</f>
        <v>7648.1379999999999</v>
      </c>
      <c r="O17">
        <f>'UN Population'!Q20</f>
        <v>7389.0649999999996</v>
      </c>
      <c r="P17">
        <f>'UN Population'!R20</f>
        <v>7164.9889999999996</v>
      </c>
      <c r="Q17">
        <f>'UN Population'!S20</f>
        <v>6993.19</v>
      </c>
      <c r="R17">
        <f>'UN Population'!T20</f>
        <v>6885.4759999999997</v>
      </c>
      <c r="S17">
        <f>'UN Population'!U20</f>
        <v>6829.7889999999998</v>
      </c>
      <c r="T17">
        <f>'UN Population'!V20</f>
        <v>6852.4350000000004</v>
      </c>
      <c r="U17">
        <f>'UN Population'!W20</f>
        <v>6930.0309999999999</v>
      </c>
      <c r="V17">
        <f>'UN Population'!X20</f>
        <v>7029.0240000000003</v>
      </c>
      <c r="W17">
        <f>'UN Population'!Y20</f>
        <v>7129.43</v>
      </c>
      <c r="X17">
        <f>'UN Population'!Z20</f>
        <v>7218.201</v>
      </c>
      <c r="Y17">
        <f>'UN Population'!AA20</f>
        <v>7305.02</v>
      </c>
      <c r="Z17">
        <f>'UN Population'!AB20</f>
        <v>7408.4989999999998</v>
      </c>
      <c r="AA17">
        <f>'UN Population'!AC20</f>
        <v>7562.0410000000002</v>
      </c>
      <c r="AB17">
        <f>'UN Population'!AD20</f>
        <v>7779.2250000000004</v>
      </c>
    </row>
    <row r="18" spans="1:28" outlineLevel="1">
      <c r="A18" t="s">
        <v>39</v>
      </c>
      <c r="B18" t="s">
        <v>26</v>
      </c>
      <c r="C18">
        <f>'UN Population'!E21</f>
        <v>6255.1279999999997</v>
      </c>
      <c r="D18">
        <f>'UN Population'!F21</f>
        <v>6342.3559999999998</v>
      </c>
      <c r="E18">
        <f>'UN Population'!G21</f>
        <v>6442.027</v>
      </c>
      <c r="F18">
        <f>'UN Population'!H21</f>
        <v>6571.87</v>
      </c>
      <c r="G18">
        <f>'UN Population'!I21</f>
        <v>6760.634</v>
      </c>
      <c r="H18">
        <f>'UN Population'!J21</f>
        <v>7018.7709999999997</v>
      </c>
      <c r="I18">
        <f>'UN Population'!K21</f>
        <v>7285.027</v>
      </c>
      <c r="J18">
        <f>'UN Population'!L21</f>
        <v>7625.9660000000003</v>
      </c>
      <c r="K18">
        <f>'UN Population'!M21</f>
        <v>7974.8090000000002</v>
      </c>
      <c r="L18">
        <f>'UN Population'!N21</f>
        <v>8234.0149999999994</v>
      </c>
      <c r="M18">
        <f>'UN Population'!O21</f>
        <v>8347.4150000000009</v>
      </c>
      <c r="N18">
        <f>'UN Population'!P21</f>
        <v>8272.07</v>
      </c>
      <c r="O18">
        <f>'UN Population'!Q21</f>
        <v>8082.2039999999997</v>
      </c>
      <c r="P18">
        <f>'UN Population'!R21</f>
        <v>7822.6639999999998</v>
      </c>
      <c r="Q18">
        <f>'UN Population'!S21</f>
        <v>7558.0569999999998</v>
      </c>
      <c r="R18">
        <f>'UN Population'!T21</f>
        <v>7324.8720000000003</v>
      </c>
      <c r="S18">
        <f>'UN Population'!U21</f>
        <v>7064.78</v>
      </c>
      <c r="T18">
        <f>'UN Population'!V21</f>
        <v>6828.7449999999999</v>
      </c>
      <c r="U18">
        <f>'UN Population'!W21</f>
        <v>6627.268</v>
      </c>
      <c r="V18">
        <f>'UN Population'!X21</f>
        <v>6480.1719999999996</v>
      </c>
      <c r="W18">
        <f>'UN Population'!Y21</f>
        <v>6400.3119999999999</v>
      </c>
      <c r="X18">
        <f>'UN Population'!Z21</f>
        <v>6347.9229999999998</v>
      </c>
      <c r="Y18">
        <f>'UN Population'!AA21</f>
        <v>6372.95</v>
      </c>
      <c r="Z18">
        <f>'UN Population'!AB21</f>
        <v>6452.3940000000002</v>
      </c>
      <c r="AA18">
        <f>'UN Population'!AC21</f>
        <v>6555.8559999999998</v>
      </c>
      <c r="AB18">
        <f>'UN Population'!AD21</f>
        <v>6665.72</v>
      </c>
    </row>
    <row r="19" spans="1:28" outlineLevel="1">
      <c r="A19" t="s">
        <v>40</v>
      </c>
      <c r="B19" t="s">
        <v>27</v>
      </c>
      <c r="C19">
        <f>'UN Population'!E22</f>
        <v>4875.7290000000003</v>
      </c>
      <c r="D19">
        <f>'UN Population'!F22</f>
        <v>4935.6019999999999</v>
      </c>
      <c r="E19">
        <f>'UN Population'!G22</f>
        <v>4994.817</v>
      </c>
      <c r="F19">
        <f>'UN Population'!H22</f>
        <v>5065.6130000000003</v>
      </c>
      <c r="G19">
        <f>'UN Population'!I22</f>
        <v>5160.3289999999997</v>
      </c>
      <c r="H19">
        <f>'UN Population'!J22</f>
        <v>5284.3320000000003</v>
      </c>
      <c r="I19">
        <f>'UN Population'!K22</f>
        <v>5362.6360000000004</v>
      </c>
      <c r="J19">
        <f>'UN Population'!L22</f>
        <v>5450.8890000000001</v>
      </c>
      <c r="K19">
        <f>'UN Population'!M22</f>
        <v>5570.2380000000003</v>
      </c>
      <c r="L19">
        <f>'UN Population'!N22</f>
        <v>5750.5969999999998</v>
      </c>
      <c r="M19">
        <f>'UN Population'!O22</f>
        <v>6002.5619999999999</v>
      </c>
      <c r="N19">
        <f>'UN Population'!P22</f>
        <v>6239.6869999999999</v>
      </c>
      <c r="O19">
        <f>'UN Population'!Q22</f>
        <v>6544.9560000000001</v>
      </c>
      <c r="P19">
        <f>'UN Population'!R22</f>
        <v>6859.8770000000004</v>
      </c>
      <c r="Q19">
        <f>'UN Population'!S22</f>
        <v>7098.67</v>
      </c>
      <c r="R19">
        <f>'UN Population'!T22</f>
        <v>7214.2569999999996</v>
      </c>
      <c r="S19">
        <f>'UN Population'!U22</f>
        <v>7137.2569999999996</v>
      </c>
      <c r="T19">
        <f>'UN Population'!V22</f>
        <v>6972.3119999999999</v>
      </c>
      <c r="U19">
        <f>'UN Population'!W22</f>
        <v>6763.7870000000003</v>
      </c>
      <c r="V19">
        <f>'UN Population'!X22</f>
        <v>6564.0240000000003</v>
      </c>
      <c r="W19">
        <f>'UN Population'!Y22</f>
        <v>6397.116</v>
      </c>
      <c r="X19">
        <f>'UN Population'!Z22</f>
        <v>6173.7430000000004</v>
      </c>
      <c r="Y19">
        <f>'UN Population'!AA22</f>
        <v>5969.1469999999999</v>
      </c>
      <c r="Z19">
        <f>'UN Population'!AB22</f>
        <v>5798.1009999999997</v>
      </c>
      <c r="AA19">
        <f>'UN Population'!AC22</f>
        <v>5685.1819999999998</v>
      </c>
      <c r="AB19">
        <f>'UN Population'!AD22</f>
        <v>5644.1220000000003</v>
      </c>
    </row>
    <row r="20" spans="1:28" outlineLevel="1">
      <c r="A20" t="s">
        <v>40</v>
      </c>
      <c r="B20" t="s">
        <v>28</v>
      </c>
      <c r="C20">
        <f>'UN Population'!E23</f>
        <v>3072.6260000000002</v>
      </c>
      <c r="D20">
        <f>'UN Population'!F23</f>
        <v>3184.8870000000002</v>
      </c>
      <c r="E20">
        <f>'UN Population'!G23</f>
        <v>3287.0189999999998</v>
      </c>
      <c r="F20">
        <f>'UN Population'!H23</f>
        <v>3379.0819999999999</v>
      </c>
      <c r="G20">
        <f>'UN Population'!I23</f>
        <v>3475.0419999999999</v>
      </c>
      <c r="H20">
        <f>'UN Population'!J23</f>
        <v>3578.4659999999999</v>
      </c>
      <c r="I20">
        <f>'UN Population'!K23</f>
        <v>3644.6030000000001</v>
      </c>
      <c r="J20">
        <f>'UN Population'!L23</f>
        <v>3700.9659999999999</v>
      </c>
      <c r="K20">
        <f>'UN Population'!M23</f>
        <v>3756.665</v>
      </c>
      <c r="L20">
        <f>'UN Population'!N23</f>
        <v>3834.335</v>
      </c>
      <c r="M20">
        <f>'UN Population'!O23</f>
        <v>3947.1109999999999</v>
      </c>
      <c r="N20">
        <f>'UN Population'!P23</f>
        <v>4029.2710000000002</v>
      </c>
      <c r="O20">
        <f>'UN Population'!Q23</f>
        <v>4104.6629999999996</v>
      </c>
      <c r="P20">
        <f>'UN Population'!R23</f>
        <v>4193.5870000000004</v>
      </c>
      <c r="Q20">
        <f>'UN Population'!S23</f>
        <v>4340.1049999999996</v>
      </c>
      <c r="R20">
        <f>'UN Population'!T23</f>
        <v>4562.0389999999998</v>
      </c>
      <c r="S20">
        <f>'UN Population'!U23</f>
        <v>4778.5349999999999</v>
      </c>
      <c r="T20">
        <f>'UN Population'!V23</f>
        <v>5032.79</v>
      </c>
      <c r="U20">
        <f>'UN Population'!W23</f>
        <v>5273.8329999999996</v>
      </c>
      <c r="V20">
        <f>'UN Population'!X23</f>
        <v>5467.9629999999997</v>
      </c>
      <c r="W20">
        <f>'UN Population'!Y23</f>
        <v>5574.1459999999997</v>
      </c>
      <c r="X20">
        <f>'UN Population'!Z23</f>
        <v>5524.6360000000004</v>
      </c>
      <c r="Y20">
        <f>'UN Population'!AA23</f>
        <v>5408.2020000000002</v>
      </c>
      <c r="Z20">
        <f>'UN Population'!AB23</f>
        <v>5255.6790000000001</v>
      </c>
      <c r="AA20">
        <f>'UN Population'!AC23</f>
        <v>5113.366</v>
      </c>
      <c r="AB20">
        <f>'UN Population'!AD23</f>
        <v>5018.49</v>
      </c>
    </row>
    <row r="21" spans="1:28" outlineLevel="1">
      <c r="A21" t="s">
        <v>41</v>
      </c>
      <c r="B21" t="s">
        <v>29</v>
      </c>
      <c r="C21">
        <f>'UN Population'!E24</f>
        <v>1328.15</v>
      </c>
      <c r="D21">
        <f>'UN Population'!F24</f>
        <v>1448.0029999999999</v>
      </c>
      <c r="E21">
        <f>'UN Population'!G24</f>
        <v>1534.6759999999999</v>
      </c>
      <c r="F21">
        <f>'UN Population'!H24</f>
        <v>1611.355</v>
      </c>
      <c r="G21">
        <f>'UN Population'!I24</f>
        <v>1681.568</v>
      </c>
      <c r="H21">
        <f>'UN Population'!J24</f>
        <v>1759.896</v>
      </c>
      <c r="I21">
        <f>'UN Population'!K24</f>
        <v>1875.4870000000001</v>
      </c>
      <c r="J21">
        <f>'UN Population'!L24</f>
        <v>1942.1659999999999</v>
      </c>
      <c r="K21">
        <f>'UN Population'!M24</f>
        <v>1994.088</v>
      </c>
      <c r="L21">
        <f>'UN Population'!N24</f>
        <v>2043.24</v>
      </c>
      <c r="M21">
        <f>'UN Population'!O24</f>
        <v>2103.7689999999998</v>
      </c>
      <c r="N21">
        <f>'UN Population'!P24</f>
        <v>2196.2289999999998</v>
      </c>
      <c r="O21">
        <f>'UN Population'!Q24</f>
        <v>2236.3589999999999</v>
      </c>
      <c r="P21">
        <f>'UN Population'!R24</f>
        <v>2266.7939999999999</v>
      </c>
      <c r="Q21">
        <f>'UN Population'!S24</f>
        <v>2306.3580000000002</v>
      </c>
      <c r="R21">
        <f>'UN Population'!T24</f>
        <v>2376.0050000000001</v>
      </c>
      <c r="S21">
        <f>'UN Population'!U24</f>
        <v>2480.7150000000001</v>
      </c>
      <c r="T21">
        <f>'UN Population'!V24</f>
        <v>2533.2080000000001</v>
      </c>
      <c r="U21">
        <f>'UN Population'!W24</f>
        <v>2589.1439999999998</v>
      </c>
      <c r="V21">
        <f>'UN Population'!X24</f>
        <v>2668.9670000000001</v>
      </c>
      <c r="W21">
        <f>'UN Population'!Y24</f>
        <v>2817.9090000000001</v>
      </c>
      <c r="X21">
        <f>'UN Population'!Z24</f>
        <v>3023.63</v>
      </c>
      <c r="Y21">
        <f>'UN Population'!AA24</f>
        <v>3187.0709999999999</v>
      </c>
      <c r="Z21">
        <f>'UN Population'!AB24</f>
        <v>3329.5349999999999</v>
      </c>
      <c r="AA21">
        <f>'UN Population'!AC24</f>
        <v>3443.4720000000002</v>
      </c>
      <c r="AB21">
        <f>'UN Population'!AD24</f>
        <v>3522.6329999999998</v>
      </c>
    </row>
    <row r="22" spans="1:28" outlineLevel="1">
      <c r="A22" t="s">
        <v>41</v>
      </c>
      <c r="B22" t="s">
        <v>30</v>
      </c>
      <c r="C22">
        <f>'UN Population'!E25</f>
        <v>371.738</v>
      </c>
      <c r="D22">
        <f>'UN Population'!F25</f>
        <v>406.238</v>
      </c>
      <c r="E22">
        <f>'UN Population'!G25</f>
        <v>456.40199999999999</v>
      </c>
      <c r="F22">
        <f>'UN Population'!H25</f>
        <v>499.79700000000003</v>
      </c>
      <c r="G22">
        <f>'UN Population'!I25</f>
        <v>520.40599999999995</v>
      </c>
      <c r="H22">
        <f>'UN Population'!J25</f>
        <v>509.274</v>
      </c>
      <c r="I22">
        <f>'UN Population'!K25</f>
        <v>562.53599999999994</v>
      </c>
      <c r="J22">
        <f>'UN Population'!L25</f>
        <v>633.19299999999998</v>
      </c>
      <c r="K22">
        <f>'UN Population'!M25</f>
        <v>690.06399999999996</v>
      </c>
      <c r="L22">
        <f>'UN Population'!N25</f>
        <v>713.51300000000003</v>
      </c>
      <c r="M22">
        <f>'UN Population'!O25</f>
        <v>695.31200000000001</v>
      </c>
      <c r="N22">
        <f>'UN Population'!P25</f>
        <v>749.07</v>
      </c>
      <c r="O22">
        <f>'UN Population'!Q25</f>
        <v>816.55</v>
      </c>
      <c r="P22">
        <f>'UN Population'!R25</f>
        <v>868.36</v>
      </c>
      <c r="Q22">
        <f>'UN Population'!S25</f>
        <v>885.48400000000004</v>
      </c>
      <c r="R22">
        <f>'UN Population'!T25</f>
        <v>858.77</v>
      </c>
      <c r="S22">
        <f>'UN Population'!U25</f>
        <v>902.904</v>
      </c>
      <c r="T22">
        <f>'UN Population'!V25</f>
        <v>961.33699999999999</v>
      </c>
      <c r="U22">
        <f>'UN Population'!W25</f>
        <v>1008.779</v>
      </c>
      <c r="V22">
        <f>'UN Population'!X25</f>
        <v>1026.4549999999999</v>
      </c>
      <c r="W22">
        <f>'UN Population'!Y25</f>
        <v>1002.55</v>
      </c>
      <c r="X22">
        <f>'UN Population'!Z25</f>
        <v>1053.3589999999999</v>
      </c>
      <c r="Y22">
        <f>'UN Population'!AA25</f>
        <v>1127.299</v>
      </c>
      <c r="Z22">
        <f>'UN Population'!AB25</f>
        <v>1195.404</v>
      </c>
      <c r="AA22">
        <f>'UN Population'!AC25</f>
        <v>1234.2840000000001</v>
      </c>
      <c r="AB22">
        <f>'UN Population'!AD25</f>
        <v>1228.8420000000001</v>
      </c>
    </row>
    <row r="23" spans="1:28" outlineLevel="1">
      <c r="A23" t="s">
        <v>42</v>
      </c>
      <c r="B23" t="s">
        <v>31</v>
      </c>
      <c r="C23">
        <f>'UN Population'!E26</f>
        <v>58.24</v>
      </c>
      <c r="D23">
        <f>'UN Population'!F26</f>
        <v>62.747999999999998</v>
      </c>
      <c r="E23">
        <f>'UN Population'!G26</f>
        <v>67.341999999999999</v>
      </c>
      <c r="F23">
        <f>'UN Population'!H26</f>
        <v>72.126000000000005</v>
      </c>
      <c r="G23">
        <f>'UN Population'!I26</f>
        <v>77.239000000000004</v>
      </c>
      <c r="H23">
        <f>'UN Population'!J26</f>
        <v>82.786000000000001</v>
      </c>
      <c r="I23">
        <f>'UN Population'!K26</f>
        <v>88.903999999999996</v>
      </c>
      <c r="J23">
        <f>'UN Population'!L26</f>
        <v>95.477999999999994</v>
      </c>
      <c r="K23">
        <f>'UN Population'!M26</f>
        <v>102.565</v>
      </c>
      <c r="L23">
        <f>'UN Population'!N26</f>
        <v>110.217</v>
      </c>
      <c r="M23">
        <f>'UN Population'!O26</f>
        <v>118.447</v>
      </c>
      <c r="N23">
        <f>'UN Population'!P26</f>
        <v>127.464</v>
      </c>
      <c r="O23">
        <f>'UN Population'!Q26</f>
        <v>137.06700000000001</v>
      </c>
      <c r="P23">
        <f>'UN Population'!R26</f>
        <v>147.07499999999999</v>
      </c>
      <c r="Q23">
        <f>'UN Population'!S26</f>
        <v>157.24299999999999</v>
      </c>
      <c r="R23">
        <f>'UN Population'!T26</f>
        <v>167.37</v>
      </c>
      <c r="S23">
        <f>'UN Population'!U26</f>
        <v>177.739</v>
      </c>
      <c r="T23">
        <f>'UN Population'!V26</f>
        <v>188.14</v>
      </c>
      <c r="U23">
        <f>'UN Population'!W26</f>
        <v>198.43299999999999</v>
      </c>
      <c r="V23">
        <f>'UN Population'!X26</f>
        <v>208.458</v>
      </c>
      <c r="W23">
        <f>'UN Population'!Y26</f>
        <v>218.126</v>
      </c>
      <c r="X23">
        <f>'UN Population'!Z26</f>
        <v>227.809</v>
      </c>
      <c r="Y23">
        <f>'UN Population'!AA26</f>
        <v>237.327</v>
      </c>
      <c r="Z23">
        <f>'UN Population'!AB26</f>
        <v>246.92500000000001</v>
      </c>
      <c r="AA23">
        <f>'UN Population'!AC26</f>
        <v>256.94900000000001</v>
      </c>
      <c r="AB23">
        <f>'UN Population'!AD26</f>
        <v>267.67399999999998</v>
      </c>
    </row>
    <row r="25" spans="1:28" outlineLevel="1">
      <c r="A25" t="s">
        <v>34</v>
      </c>
      <c r="C25">
        <f t="shared" ref="C25:C33" si="0">SUMIF($A$3:$A$23,$A25,C$3:C$23)</f>
        <v>12895.378000000001</v>
      </c>
      <c r="D25">
        <f t="shared" ref="D25:AB33" si="1">SUMIF($A$3:$A$23,$A25,D$3:D$23)</f>
        <v>12705.470000000001</v>
      </c>
      <c r="E25">
        <f t="shared" si="1"/>
        <v>12548.165000000001</v>
      </c>
      <c r="F25">
        <f t="shared" si="1"/>
        <v>12416.780999999999</v>
      </c>
      <c r="G25">
        <f t="shared" si="1"/>
        <v>12300.063</v>
      </c>
      <c r="H25">
        <f t="shared" si="1"/>
        <v>12189.297999999999</v>
      </c>
      <c r="I25">
        <f t="shared" si="1"/>
        <v>12099.941999999999</v>
      </c>
      <c r="J25">
        <f t="shared" si="1"/>
        <v>12019.034</v>
      </c>
      <c r="K25">
        <f t="shared" si="1"/>
        <v>11942.620999999999</v>
      </c>
      <c r="L25">
        <f t="shared" si="1"/>
        <v>11865.412</v>
      </c>
      <c r="M25">
        <f t="shared" si="1"/>
        <v>11782.896000000001</v>
      </c>
      <c r="N25">
        <f t="shared" si="1"/>
        <v>11708.594000000001</v>
      </c>
      <c r="O25">
        <f t="shared" si="1"/>
        <v>11628.530999999999</v>
      </c>
      <c r="P25">
        <f t="shared" si="1"/>
        <v>11545.8</v>
      </c>
      <c r="Q25">
        <f t="shared" si="1"/>
        <v>11466.18</v>
      </c>
      <c r="R25">
        <f t="shared" si="1"/>
        <v>11392.001</v>
      </c>
      <c r="S25">
        <f t="shared" si="1"/>
        <v>11337.959000000001</v>
      </c>
      <c r="T25">
        <f t="shared" si="1"/>
        <v>11291.701000000001</v>
      </c>
      <c r="U25">
        <f t="shared" si="1"/>
        <v>11246.969000000001</v>
      </c>
      <c r="V25">
        <f t="shared" si="1"/>
        <v>11194.381000000001</v>
      </c>
      <c r="W25">
        <f t="shared" si="1"/>
        <v>11127.293</v>
      </c>
      <c r="X25">
        <f t="shared" si="1"/>
        <v>11063.470000000001</v>
      </c>
      <c r="Y25">
        <f t="shared" si="1"/>
        <v>10990.019</v>
      </c>
      <c r="Z25">
        <f t="shared" si="1"/>
        <v>10907.113000000001</v>
      </c>
      <c r="AA25">
        <f t="shared" si="1"/>
        <v>10816.324000000001</v>
      </c>
      <c r="AB25">
        <f t="shared" si="1"/>
        <v>10718.237999999999</v>
      </c>
    </row>
    <row r="26" spans="1:28" outlineLevel="1">
      <c r="A26" t="s">
        <v>35</v>
      </c>
      <c r="C26">
        <f t="shared" si="0"/>
        <v>16090.261</v>
      </c>
      <c r="D26">
        <f t="shared" ref="D26:R26" si="2">SUMIF($A$3:$A$23,$A26,D$3:D$23)</f>
        <v>15669.009999999998</v>
      </c>
      <c r="E26">
        <f t="shared" si="2"/>
        <v>15312.911</v>
      </c>
      <c r="F26">
        <f t="shared" si="2"/>
        <v>15002.99</v>
      </c>
      <c r="G26">
        <f t="shared" si="2"/>
        <v>14701.694</v>
      </c>
      <c r="H26">
        <f t="shared" si="2"/>
        <v>14386.137000000001</v>
      </c>
      <c r="I26">
        <f t="shared" si="2"/>
        <v>14081.552</v>
      </c>
      <c r="J26">
        <f t="shared" si="2"/>
        <v>13776.032999999999</v>
      </c>
      <c r="K26">
        <f t="shared" si="2"/>
        <v>13479.683000000001</v>
      </c>
      <c r="L26">
        <f t="shared" si="2"/>
        <v>13209.08</v>
      </c>
      <c r="M26">
        <f t="shared" si="2"/>
        <v>12973.471000000001</v>
      </c>
      <c r="N26">
        <f t="shared" si="2"/>
        <v>12783.802</v>
      </c>
      <c r="O26">
        <f t="shared" si="2"/>
        <v>12628.321</v>
      </c>
      <c r="P26">
        <f t="shared" si="2"/>
        <v>12499.366</v>
      </c>
      <c r="Q26">
        <f t="shared" si="2"/>
        <v>12384.65</v>
      </c>
      <c r="R26">
        <f t="shared" si="2"/>
        <v>12275.234</v>
      </c>
      <c r="S26">
        <f t="shared" si="1"/>
        <v>12187.308000000001</v>
      </c>
      <c r="T26">
        <f t="shared" si="1"/>
        <v>12108.348</v>
      </c>
      <c r="U26">
        <f t="shared" si="1"/>
        <v>12033.314</v>
      </c>
      <c r="V26">
        <f t="shared" si="1"/>
        <v>11956.645</v>
      </c>
      <c r="W26">
        <f t="shared" si="1"/>
        <v>11874.437</v>
      </c>
      <c r="X26">
        <f t="shared" si="1"/>
        <v>11801.315999999999</v>
      </c>
      <c r="Y26">
        <f t="shared" si="1"/>
        <v>11722.427</v>
      </c>
      <c r="Z26">
        <f t="shared" si="1"/>
        <v>11640.481</v>
      </c>
      <c r="AA26">
        <f t="shared" si="1"/>
        <v>11561.569</v>
      </c>
      <c r="AB26">
        <f t="shared" si="1"/>
        <v>11488.714</v>
      </c>
    </row>
    <row r="27" spans="1:28" outlineLevel="1">
      <c r="A27" t="s">
        <v>36</v>
      </c>
      <c r="C27">
        <f t="shared" si="0"/>
        <v>18767.883000000002</v>
      </c>
      <c r="D27">
        <f t="shared" si="1"/>
        <v>18934.59</v>
      </c>
      <c r="E27">
        <f t="shared" si="1"/>
        <v>18985.099000000002</v>
      </c>
      <c r="F27">
        <f t="shared" si="1"/>
        <v>18917.373</v>
      </c>
      <c r="G27">
        <f t="shared" si="1"/>
        <v>18737.078000000001</v>
      </c>
      <c r="H27">
        <f t="shared" si="1"/>
        <v>18451.811000000002</v>
      </c>
      <c r="I27">
        <f t="shared" si="1"/>
        <v>18076.310000000001</v>
      </c>
      <c r="J27">
        <f t="shared" si="1"/>
        <v>17590.669000000002</v>
      </c>
      <c r="K27">
        <f t="shared" si="1"/>
        <v>17042.677</v>
      </c>
      <c r="L27">
        <f t="shared" si="1"/>
        <v>16503.296000000002</v>
      </c>
      <c r="M27">
        <f t="shared" si="1"/>
        <v>16017.719000000001</v>
      </c>
      <c r="N27">
        <f t="shared" si="1"/>
        <v>15600.355</v>
      </c>
      <c r="O27">
        <f t="shared" si="1"/>
        <v>15249.601999999999</v>
      </c>
      <c r="P27">
        <f t="shared" si="1"/>
        <v>14945.335999999999</v>
      </c>
      <c r="Q27">
        <f t="shared" si="1"/>
        <v>14649.093000000001</v>
      </c>
      <c r="R27">
        <f t="shared" si="1"/>
        <v>14337.496999999999</v>
      </c>
      <c r="S27">
        <f t="shared" si="1"/>
        <v>14036.805</v>
      </c>
      <c r="T27">
        <f t="shared" si="1"/>
        <v>13736.279999999999</v>
      </c>
      <c r="U27">
        <f t="shared" si="1"/>
        <v>13444.655999999999</v>
      </c>
      <c r="V27">
        <f t="shared" si="1"/>
        <v>13177.670999999998</v>
      </c>
      <c r="W27">
        <f t="shared" si="1"/>
        <v>12944.373</v>
      </c>
      <c r="X27">
        <f t="shared" si="1"/>
        <v>12757.681</v>
      </c>
      <c r="Y27">
        <f t="shared" si="1"/>
        <v>12605.142</v>
      </c>
      <c r="Z27">
        <f t="shared" si="1"/>
        <v>12478.701000000001</v>
      </c>
      <c r="AA27">
        <f t="shared" si="1"/>
        <v>12366.207999999999</v>
      </c>
      <c r="AB27">
        <f t="shared" si="1"/>
        <v>12258.845000000001</v>
      </c>
    </row>
    <row r="28" spans="1:28" outlineLevel="1">
      <c r="A28" t="s">
        <v>37</v>
      </c>
      <c r="C28">
        <f t="shared" si="0"/>
        <v>15649.219000000001</v>
      </c>
      <c r="D28">
        <f t="shared" si="1"/>
        <v>15679.768</v>
      </c>
      <c r="E28">
        <f t="shared" si="1"/>
        <v>15779.945</v>
      </c>
      <c r="F28">
        <f t="shared" si="1"/>
        <v>15950.173999999999</v>
      </c>
      <c r="G28">
        <f t="shared" si="1"/>
        <v>16193.956999999999</v>
      </c>
      <c r="H28">
        <f t="shared" si="1"/>
        <v>16506.150999999998</v>
      </c>
      <c r="I28">
        <f t="shared" si="1"/>
        <v>16884.077000000001</v>
      </c>
      <c r="J28">
        <f t="shared" si="1"/>
        <v>17323.214</v>
      </c>
      <c r="K28">
        <f t="shared" si="1"/>
        <v>17771.837</v>
      </c>
      <c r="L28">
        <f t="shared" si="1"/>
        <v>18154.673999999999</v>
      </c>
      <c r="M28">
        <f t="shared" si="1"/>
        <v>18420.440000000002</v>
      </c>
      <c r="N28">
        <f t="shared" si="1"/>
        <v>18582.048000000003</v>
      </c>
      <c r="O28">
        <f t="shared" si="1"/>
        <v>18633.803</v>
      </c>
      <c r="P28">
        <f t="shared" si="1"/>
        <v>18572.315999999999</v>
      </c>
      <c r="Q28">
        <f t="shared" si="1"/>
        <v>18400.944</v>
      </c>
      <c r="R28">
        <f t="shared" si="1"/>
        <v>18125.713</v>
      </c>
      <c r="S28">
        <f t="shared" si="1"/>
        <v>17758.843000000001</v>
      </c>
      <c r="T28">
        <f t="shared" si="1"/>
        <v>17287.349999999999</v>
      </c>
      <c r="U28">
        <f t="shared" si="1"/>
        <v>16756.243999999999</v>
      </c>
      <c r="V28">
        <f t="shared" si="1"/>
        <v>16233.691999999999</v>
      </c>
      <c r="W28">
        <f t="shared" si="1"/>
        <v>15763.219000000001</v>
      </c>
      <c r="X28">
        <f t="shared" si="1"/>
        <v>15357.44</v>
      </c>
      <c r="Y28">
        <f t="shared" si="1"/>
        <v>15017.022000000001</v>
      </c>
      <c r="Z28">
        <f t="shared" si="1"/>
        <v>14721.425999999999</v>
      </c>
      <c r="AA28">
        <f t="shared" si="1"/>
        <v>14433.621999999999</v>
      </c>
      <c r="AB28">
        <f t="shared" si="1"/>
        <v>14131.460999999999</v>
      </c>
    </row>
    <row r="29" spans="1:28" outlineLevel="1">
      <c r="A29" t="s">
        <v>38</v>
      </c>
      <c r="C29">
        <f t="shared" si="0"/>
        <v>18301.075000000001</v>
      </c>
      <c r="D29">
        <f t="shared" si="1"/>
        <v>17918.453999999998</v>
      </c>
      <c r="E29">
        <f t="shared" si="1"/>
        <v>17404.927</v>
      </c>
      <c r="F29">
        <f t="shared" si="1"/>
        <v>16826.792000000001</v>
      </c>
      <c r="G29">
        <f t="shared" si="1"/>
        <v>16282.407000000001</v>
      </c>
      <c r="H29">
        <f t="shared" si="1"/>
        <v>15834.462</v>
      </c>
      <c r="I29">
        <f t="shared" si="1"/>
        <v>15468.029</v>
      </c>
      <c r="J29">
        <f t="shared" si="1"/>
        <v>15204.403999999999</v>
      </c>
      <c r="K29">
        <f t="shared" si="1"/>
        <v>15036.085999999999</v>
      </c>
      <c r="L29">
        <f t="shared" si="1"/>
        <v>14944.565999999999</v>
      </c>
      <c r="M29">
        <f t="shared" si="1"/>
        <v>14918.08</v>
      </c>
      <c r="N29">
        <f t="shared" si="1"/>
        <v>14953.456</v>
      </c>
      <c r="O29">
        <f t="shared" si="1"/>
        <v>15059.058000000001</v>
      </c>
      <c r="P29">
        <f t="shared" si="1"/>
        <v>15234.281999999999</v>
      </c>
      <c r="Q29">
        <f t="shared" si="1"/>
        <v>15481.470000000001</v>
      </c>
      <c r="R29">
        <f t="shared" si="1"/>
        <v>15794.977000000001</v>
      </c>
      <c r="S29">
        <f t="shared" si="1"/>
        <v>16164.563999999998</v>
      </c>
      <c r="T29">
        <f t="shared" si="1"/>
        <v>16598.053</v>
      </c>
      <c r="U29">
        <f t="shared" si="1"/>
        <v>17042.84</v>
      </c>
      <c r="V29">
        <f t="shared" si="1"/>
        <v>17423.363000000001</v>
      </c>
      <c r="W29">
        <f t="shared" si="1"/>
        <v>17689.029000000002</v>
      </c>
      <c r="X29">
        <f t="shared" si="1"/>
        <v>17846.359</v>
      </c>
      <c r="Y29">
        <f t="shared" si="1"/>
        <v>17900.991999999998</v>
      </c>
      <c r="Z29">
        <f t="shared" si="1"/>
        <v>17848.921000000002</v>
      </c>
      <c r="AA29">
        <f t="shared" si="1"/>
        <v>17692.749</v>
      </c>
      <c r="AB29">
        <f t="shared" si="1"/>
        <v>17438.023999999998</v>
      </c>
    </row>
    <row r="30" spans="1:28" outlineLevel="1">
      <c r="A30" t="s">
        <v>39</v>
      </c>
      <c r="C30">
        <f t="shared" si="0"/>
        <v>13959.453</v>
      </c>
      <c r="D30">
        <f t="shared" si="1"/>
        <v>14337.777</v>
      </c>
      <c r="E30">
        <f t="shared" si="1"/>
        <v>14802.392</v>
      </c>
      <c r="F30">
        <f t="shared" si="1"/>
        <v>15299.575000000001</v>
      </c>
      <c r="G30">
        <f t="shared" si="1"/>
        <v>15753.945</v>
      </c>
      <c r="H30">
        <f t="shared" si="1"/>
        <v>16115.915000000001</v>
      </c>
      <c r="I30">
        <f t="shared" si="1"/>
        <v>16313.776</v>
      </c>
      <c r="J30">
        <f t="shared" si="1"/>
        <v>16448.864000000001</v>
      </c>
      <c r="K30">
        <f t="shared" si="1"/>
        <v>16501.501</v>
      </c>
      <c r="L30">
        <f t="shared" si="1"/>
        <v>16448.131999999998</v>
      </c>
      <c r="M30">
        <f t="shared" si="1"/>
        <v>16278.682000000001</v>
      </c>
      <c r="N30">
        <f t="shared" si="1"/>
        <v>15920.207999999999</v>
      </c>
      <c r="O30">
        <f t="shared" si="1"/>
        <v>15471.269</v>
      </c>
      <c r="P30">
        <f t="shared" si="1"/>
        <v>14987.652999999998</v>
      </c>
      <c r="Q30">
        <f t="shared" si="1"/>
        <v>14551.246999999999</v>
      </c>
      <c r="R30">
        <f t="shared" si="1"/>
        <v>14210.348</v>
      </c>
      <c r="S30">
        <f t="shared" si="1"/>
        <v>13894.569</v>
      </c>
      <c r="T30">
        <f t="shared" si="1"/>
        <v>13681.18</v>
      </c>
      <c r="U30">
        <f t="shared" si="1"/>
        <v>13557.298999999999</v>
      </c>
      <c r="V30">
        <f t="shared" si="1"/>
        <v>13509.196</v>
      </c>
      <c r="W30">
        <f t="shared" si="1"/>
        <v>13529.742</v>
      </c>
      <c r="X30">
        <f t="shared" si="1"/>
        <v>13566.124</v>
      </c>
      <c r="Y30">
        <f t="shared" si="1"/>
        <v>13677.970000000001</v>
      </c>
      <c r="Z30">
        <f t="shared" si="1"/>
        <v>13860.893</v>
      </c>
      <c r="AA30">
        <f t="shared" si="1"/>
        <v>14117.897000000001</v>
      </c>
      <c r="AB30">
        <f t="shared" si="1"/>
        <v>14444.945</v>
      </c>
    </row>
    <row r="31" spans="1:28" outlineLevel="1">
      <c r="A31" t="s">
        <v>40</v>
      </c>
      <c r="C31">
        <f t="shared" si="0"/>
        <v>7948.3550000000005</v>
      </c>
      <c r="D31">
        <f t="shared" si="1"/>
        <v>8120.4889999999996</v>
      </c>
      <c r="E31">
        <f t="shared" si="1"/>
        <v>8281.8359999999993</v>
      </c>
      <c r="F31">
        <f t="shared" si="1"/>
        <v>8444.6949999999997</v>
      </c>
      <c r="G31">
        <f t="shared" si="1"/>
        <v>8635.3709999999992</v>
      </c>
      <c r="H31">
        <f t="shared" si="1"/>
        <v>8862.7980000000007</v>
      </c>
      <c r="I31">
        <f t="shared" si="1"/>
        <v>9007.2390000000014</v>
      </c>
      <c r="J31">
        <f t="shared" si="1"/>
        <v>9151.8549999999996</v>
      </c>
      <c r="K31">
        <f t="shared" si="1"/>
        <v>9326.9030000000002</v>
      </c>
      <c r="L31">
        <f t="shared" si="1"/>
        <v>9584.9320000000007</v>
      </c>
      <c r="M31">
        <f t="shared" si="1"/>
        <v>9949.6729999999989</v>
      </c>
      <c r="N31">
        <f t="shared" si="1"/>
        <v>10268.958000000001</v>
      </c>
      <c r="O31">
        <f t="shared" si="1"/>
        <v>10649.618999999999</v>
      </c>
      <c r="P31">
        <f t="shared" si="1"/>
        <v>11053.464</v>
      </c>
      <c r="Q31">
        <f t="shared" si="1"/>
        <v>11438.775</v>
      </c>
      <c r="R31">
        <f t="shared" si="1"/>
        <v>11776.295999999998</v>
      </c>
      <c r="S31">
        <f t="shared" si="1"/>
        <v>11915.791999999999</v>
      </c>
      <c r="T31">
        <f t="shared" si="1"/>
        <v>12005.101999999999</v>
      </c>
      <c r="U31">
        <f t="shared" si="1"/>
        <v>12037.619999999999</v>
      </c>
      <c r="V31">
        <f t="shared" si="1"/>
        <v>12031.987000000001</v>
      </c>
      <c r="W31">
        <f t="shared" si="1"/>
        <v>11971.261999999999</v>
      </c>
      <c r="X31">
        <f t="shared" si="1"/>
        <v>11698.379000000001</v>
      </c>
      <c r="Y31">
        <f t="shared" si="1"/>
        <v>11377.349</v>
      </c>
      <c r="Z31">
        <f t="shared" si="1"/>
        <v>11053.779999999999</v>
      </c>
      <c r="AA31">
        <f t="shared" si="1"/>
        <v>10798.547999999999</v>
      </c>
      <c r="AB31">
        <f t="shared" si="1"/>
        <v>10662.612000000001</v>
      </c>
    </row>
    <row r="32" spans="1:28" outlineLevel="1">
      <c r="A32" t="s">
        <v>41</v>
      </c>
      <c r="C32">
        <f t="shared" si="0"/>
        <v>1699.8880000000001</v>
      </c>
      <c r="D32">
        <f t="shared" si="1"/>
        <v>1854.241</v>
      </c>
      <c r="E32">
        <f t="shared" si="1"/>
        <v>1991.078</v>
      </c>
      <c r="F32">
        <f t="shared" si="1"/>
        <v>2111.152</v>
      </c>
      <c r="G32">
        <f t="shared" si="1"/>
        <v>2201.9740000000002</v>
      </c>
      <c r="H32">
        <f t="shared" si="1"/>
        <v>2269.17</v>
      </c>
      <c r="I32">
        <f t="shared" si="1"/>
        <v>2438.0230000000001</v>
      </c>
      <c r="J32">
        <f t="shared" si="1"/>
        <v>2575.3589999999999</v>
      </c>
      <c r="K32">
        <f t="shared" si="1"/>
        <v>2684.152</v>
      </c>
      <c r="L32">
        <f t="shared" si="1"/>
        <v>2756.7530000000002</v>
      </c>
      <c r="M32">
        <f t="shared" si="1"/>
        <v>2799.0809999999997</v>
      </c>
      <c r="N32">
        <f t="shared" si="1"/>
        <v>2945.299</v>
      </c>
      <c r="O32">
        <f t="shared" si="1"/>
        <v>3052.9089999999997</v>
      </c>
      <c r="P32">
        <f t="shared" si="1"/>
        <v>3135.154</v>
      </c>
      <c r="Q32">
        <f t="shared" si="1"/>
        <v>3191.8420000000001</v>
      </c>
      <c r="R32">
        <f t="shared" si="1"/>
        <v>3234.7750000000001</v>
      </c>
      <c r="S32">
        <f t="shared" si="1"/>
        <v>3383.6190000000001</v>
      </c>
      <c r="T32">
        <f t="shared" si="1"/>
        <v>3494.5450000000001</v>
      </c>
      <c r="U32">
        <f t="shared" si="1"/>
        <v>3597.9229999999998</v>
      </c>
      <c r="V32">
        <f t="shared" si="1"/>
        <v>3695.422</v>
      </c>
      <c r="W32">
        <f t="shared" si="1"/>
        <v>3820.4589999999998</v>
      </c>
      <c r="X32">
        <f t="shared" si="1"/>
        <v>4076.989</v>
      </c>
      <c r="Y32">
        <f t="shared" si="1"/>
        <v>4314.37</v>
      </c>
      <c r="Z32">
        <f t="shared" si="1"/>
        <v>4524.9390000000003</v>
      </c>
      <c r="AA32">
        <f t="shared" si="1"/>
        <v>4677.7560000000003</v>
      </c>
      <c r="AB32">
        <f t="shared" si="1"/>
        <v>4751.4750000000004</v>
      </c>
    </row>
    <row r="33" spans="1:28" outlineLevel="1">
      <c r="A33" t="s">
        <v>42</v>
      </c>
      <c r="C33">
        <f t="shared" si="0"/>
        <v>58.24</v>
      </c>
      <c r="D33">
        <f t="shared" si="1"/>
        <v>62.747999999999998</v>
      </c>
      <c r="E33">
        <f t="shared" si="1"/>
        <v>67.341999999999999</v>
      </c>
      <c r="F33">
        <f t="shared" si="1"/>
        <v>72.126000000000005</v>
      </c>
      <c r="G33">
        <f t="shared" si="1"/>
        <v>77.239000000000004</v>
      </c>
      <c r="H33">
        <f t="shared" si="1"/>
        <v>82.786000000000001</v>
      </c>
      <c r="I33">
        <f t="shared" si="1"/>
        <v>88.903999999999996</v>
      </c>
      <c r="J33">
        <f t="shared" si="1"/>
        <v>95.477999999999994</v>
      </c>
      <c r="K33">
        <f t="shared" si="1"/>
        <v>102.565</v>
      </c>
      <c r="L33">
        <f t="shared" si="1"/>
        <v>110.217</v>
      </c>
      <c r="M33">
        <f t="shared" si="1"/>
        <v>118.447</v>
      </c>
      <c r="N33">
        <f t="shared" si="1"/>
        <v>127.464</v>
      </c>
      <c r="O33">
        <f t="shared" si="1"/>
        <v>137.06700000000001</v>
      </c>
      <c r="P33">
        <f t="shared" si="1"/>
        <v>147.07499999999999</v>
      </c>
      <c r="Q33">
        <f t="shared" si="1"/>
        <v>157.24299999999999</v>
      </c>
      <c r="R33">
        <f t="shared" si="1"/>
        <v>167.37</v>
      </c>
      <c r="S33">
        <f t="shared" si="1"/>
        <v>177.739</v>
      </c>
      <c r="T33">
        <f t="shared" si="1"/>
        <v>188.14</v>
      </c>
      <c r="U33">
        <f t="shared" si="1"/>
        <v>198.43299999999999</v>
      </c>
      <c r="V33">
        <f t="shared" si="1"/>
        <v>208.458</v>
      </c>
      <c r="W33">
        <f t="shared" si="1"/>
        <v>218.126</v>
      </c>
      <c r="X33">
        <f t="shared" si="1"/>
        <v>227.809</v>
      </c>
      <c r="Y33">
        <f t="shared" si="1"/>
        <v>237.327</v>
      </c>
      <c r="Z33">
        <f t="shared" si="1"/>
        <v>246.92500000000001</v>
      </c>
      <c r="AA33">
        <f t="shared" si="1"/>
        <v>256.94900000000001</v>
      </c>
      <c r="AB33">
        <f t="shared" si="1"/>
        <v>267.67399999999998</v>
      </c>
    </row>
    <row r="35" spans="1:28" ht="18">
      <c r="A35" s="17" t="s">
        <v>162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idden="1" outlineLevel="1">
      <c r="A36" t="s">
        <v>34</v>
      </c>
      <c r="C36" s="10">
        <f>'Morizane 2018'!C103</f>
        <v>1.5005999999999999</v>
      </c>
      <c r="D36" s="10">
        <f t="shared" ref="D36:AB36" si="3">$C36/$C25*D25</f>
        <v>1.4785009235091828</v>
      </c>
      <c r="E36" s="10">
        <f t="shared" si="3"/>
        <v>1.4601957692903611</v>
      </c>
      <c r="F36" s="10">
        <f t="shared" si="3"/>
        <v>1.444906971210925</v>
      </c>
      <c r="G36" s="10">
        <f t="shared" si="3"/>
        <v>1.4313248155889651</v>
      </c>
      <c r="H36" s="10">
        <f t="shared" si="3"/>
        <v>1.4184353943560239</v>
      </c>
      <c r="I36" s="10">
        <f t="shared" si="3"/>
        <v>1.4080372801169532</v>
      </c>
      <c r="J36" s="10">
        <f t="shared" si="3"/>
        <v>1.3986222366184222</v>
      </c>
      <c r="K36" s="10">
        <f t="shared" si="3"/>
        <v>1.3897302640217291</v>
      </c>
      <c r="L36" s="10">
        <f t="shared" si="3"/>
        <v>1.3807456630740098</v>
      </c>
      <c r="M36" s="10">
        <f t="shared" si="3"/>
        <v>1.3711435009970239</v>
      </c>
      <c r="N36" s="10">
        <f t="shared" si="3"/>
        <v>1.3624971797181904</v>
      </c>
      <c r="O36" s="10">
        <f t="shared" si="3"/>
        <v>1.3531804665671683</v>
      </c>
      <c r="P36" s="10">
        <f t="shared" si="3"/>
        <v>1.343553285526023</v>
      </c>
      <c r="Q36" s="10">
        <f t="shared" si="3"/>
        <v>1.3342881230778965</v>
      </c>
      <c r="R36" s="10">
        <f t="shared" si="3"/>
        <v>1.3256561149739077</v>
      </c>
      <c r="S36" s="10">
        <f t="shared" si="3"/>
        <v>1.3193673946897873</v>
      </c>
      <c r="T36" s="10">
        <f t="shared" si="3"/>
        <v>1.3139844772755014</v>
      </c>
      <c r="U36" s="10">
        <f t="shared" si="3"/>
        <v>1.3087791363231074</v>
      </c>
      <c r="V36" s="10">
        <f t="shared" si="3"/>
        <v>1.3026596140570676</v>
      </c>
      <c r="W36" s="10">
        <f t="shared" si="3"/>
        <v>1.2948527663012281</v>
      </c>
      <c r="X36" s="10">
        <f t="shared" si="3"/>
        <v>1.2874258576987816</v>
      </c>
      <c r="Y36" s="10">
        <f t="shared" si="3"/>
        <v>1.2788785649711081</v>
      </c>
      <c r="Z36" s="10">
        <f t="shared" si="3"/>
        <v>1.2692310196568104</v>
      </c>
      <c r="AA36" s="10">
        <f t="shared" si="3"/>
        <v>1.2586661511124373</v>
      </c>
      <c r="AB36" s="10">
        <f t="shared" si="3"/>
        <v>1.247252150561232</v>
      </c>
    </row>
    <row r="37" spans="1:28" hidden="1" outlineLevel="1">
      <c r="A37" t="s">
        <v>35</v>
      </c>
      <c r="C37" s="10">
        <f>'Morizane 2018'!C104</f>
        <v>0</v>
      </c>
      <c r="D37" s="10">
        <f t="shared" ref="D37:AB37" si="4">$C37/$C26*D26</f>
        <v>0</v>
      </c>
      <c r="E37" s="10">
        <f t="shared" si="4"/>
        <v>0</v>
      </c>
      <c r="F37" s="10">
        <f t="shared" si="4"/>
        <v>0</v>
      </c>
      <c r="G37" s="10">
        <f t="shared" si="4"/>
        <v>0</v>
      </c>
      <c r="H37" s="10">
        <f t="shared" si="4"/>
        <v>0</v>
      </c>
      <c r="I37" s="10">
        <f t="shared" si="4"/>
        <v>0</v>
      </c>
      <c r="J37" s="10">
        <f t="shared" si="4"/>
        <v>0</v>
      </c>
      <c r="K37" s="10">
        <f t="shared" si="4"/>
        <v>0</v>
      </c>
      <c r="L37" s="10">
        <f t="shared" si="4"/>
        <v>0</v>
      </c>
      <c r="M37" s="10">
        <f t="shared" si="4"/>
        <v>0</v>
      </c>
      <c r="N37" s="10">
        <f t="shared" si="4"/>
        <v>0</v>
      </c>
      <c r="O37" s="10">
        <f t="shared" si="4"/>
        <v>0</v>
      </c>
      <c r="P37" s="10">
        <f t="shared" si="4"/>
        <v>0</v>
      </c>
      <c r="Q37" s="10">
        <f t="shared" si="4"/>
        <v>0</v>
      </c>
      <c r="R37" s="10">
        <f t="shared" si="4"/>
        <v>0</v>
      </c>
      <c r="S37" s="10">
        <f t="shared" si="4"/>
        <v>0</v>
      </c>
      <c r="T37" s="10">
        <f t="shared" si="4"/>
        <v>0</v>
      </c>
      <c r="U37" s="10">
        <f t="shared" si="4"/>
        <v>0</v>
      </c>
      <c r="V37" s="10">
        <f t="shared" si="4"/>
        <v>0</v>
      </c>
      <c r="W37" s="10">
        <f t="shared" si="4"/>
        <v>0</v>
      </c>
      <c r="X37" s="10">
        <f t="shared" si="4"/>
        <v>0</v>
      </c>
      <c r="Y37" s="10">
        <f t="shared" si="4"/>
        <v>0</v>
      </c>
      <c r="Z37" s="10">
        <f t="shared" si="4"/>
        <v>0</v>
      </c>
      <c r="AA37" s="10">
        <f t="shared" si="4"/>
        <v>0</v>
      </c>
      <c r="AB37" s="10">
        <f t="shared" si="4"/>
        <v>0</v>
      </c>
    </row>
    <row r="38" spans="1:28" hidden="1" outlineLevel="1">
      <c r="A38" t="s">
        <v>36</v>
      </c>
      <c r="C38" s="10">
        <f>'Morizane 2018'!C105</f>
        <v>3.0012000000000003</v>
      </c>
      <c r="D38" s="10">
        <f t="shared" ref="D38:AB38" si="5">$C38/$C27*D27</f>
        <v>3.0278583635671641</v>
      </c>
      <c r="E38" s="10">
        <f t="shared" si="5"/>
        <v>3.0359353326531289</v>
      </c>
      <c r="F38" s="10">
        <f t="shared" si="5"/>
        <v>3.0251051675673808</v>
      </c>
      <c r="G38" s="10">
        <f t="shared" si="5"/>
        <v>2.9962739267716025</v>
      </c>
      <c r="H38" s="10">
        <f t="shared" si="5"/>
        <v>2.9506564578008079</v>
      </c>
      <c r="I38" s="10">
        <f t="shared" si="5"/>
        <v>2.89060953608886</v>
      </c>
      <c r="J38" s="10">
        <f t="shared" si="5"/>
        <v>2.812949963658661</v>
      </c>
      <c r="K38" s="10">
        <f t="shared" si="5"/>
        <v>2.7253197503628939</v>
      </c>
      <c r="L38" s="10">
        <f t="shared" si="5"/>
        <v>2.6390665348457256</v>
      </c>
      <c r="M38" s="10">
        <f t="shared" si="5"/>
        <v>2.5614171967504271</v>
      </c>
      <c r="N38" s="10">
        <f t="shared" si="5"/>
        <v>2.4946759006330121</v>
      </c>
      <c r="O38" s="10">
        <f t="shared" si="5"/>
        <v>2.4385864682979959</v>
      </c>
      <c r="P38" s="10">
        <f t="shared" si="5"/>
        <v>2.3899308410650257</v>
      </c>
      <c r="Q38" s="10">
        <f t="shared" si="5"/>
        <v>2.3425581836587535</v>
      </c>
      <c r="R38" s="10">
        <f t="shared" si="5"/>
        <v>2.2927304052566821</v>
      </c>
      <c r="S38" s="10">
        <f t="shared" si="5"/>
        <v>2.2446463016633253</v>
      </c>
      <c r="T38" s="10">
        <f t="shared" si="5"/>
        <v>2.1965889032876</v>
      </c>
      <c r="U38" s="10">
        <f t="shared" si="5"/>
        <v>2.1499548770204928</v>
      </c>
      <c r="V38" s="10">
        <f t="shared" si="5"/>
        <v>2.107260909778689</v>
      </c>
      <c r="W38" s="10">
        <f t="shared" si="5"/>
        <v>2.0699538806587827</v>
      </c>
      <c r="X38" s="10">
        <f t="shared" si="5"/>
        <v>2.0400996861073781</v>
      </c>
      <c r="Y38" s="10">
        <f t="shared" si="5"/>
        <v>2.0157069484288663</v>
      </c>
      <c r="Z38" s="10">
        <f t="shared" si="5"/>
        <v>1.9954875806290993</v>
      </c>
      <c r="AA38" s="10">
        <f t="shared" si="5"/>
        <v>1.9774986581917626</v>
      </c>
      <c r="AB38" s="10">
        <f t="shared" si="5"/>
        <v>1.9603300816613147</v>
      </c>
    </row>
    <row r="39" spans="1:28" hidden="1" outlineLevel="1">
      <c r="A39" t="s">
        <v>37</v>
      </c>
      <c r="C39" s="10">
        <f>'Morizane 2018'!C106</f>
        <v>2.3009199999999996</v>
      </c>
      <c r="D39" s="10">
        <f t="shared" ref="D39:AB39" si="6">$C39/$C28*D28</f>
        <v>2.3054116493966883</v>
      </c>
      <c r="E39" s="10">
        <f t="shared" si="6"/>
        <v>2.3201407718429907</v>
      </c>
      <c r="F39" s="10">
        <f t="shared" si="6"/>
        <v>2.3451697084742689</v>
      </c>
      <c r="G39" s="10">
        <f t="shared" si="6"/>
        <v>2.3810133617811848</v>
      </c>
      <c r="H39" s="10">
        <f t="shared" si="6"/>
        <v>2.4269155514355054</v>
      </c>
      <c r="I39" s="10">
        <f t="shared" si="6"/>
        <v>2.4824823814428054</v>
      </c>
      <c r="J39" s="10">
        <f t="shared" si="6"/>
        <v>2.5470491247441802</v>
      </c>
      <c r="K39" s="10">
        <f t="shared" si="6"/>
        <v>2.6130106039183163</v>
      </c>
      <c r="L39" s="10">
        <f t="shared" si="6"/>
        <v>2.6692995030665743</v>
      </c>
      <c r="M39" s="10">
        <f t="shared" si="6"/>
        <v>2.7083753383986764</v>
      </c>
      <c r="N39" s="10">
        <f t="shared" si="6"/>
        <v>2.7321367209545726</v>
      </c>
      <c r="O39" s="10">
        <f t="shared" si="6"/>
        <v>2.7397463093052754</v>
      </c>
      <c r="P39" s="10">
        <f t="shared" si="6"/>
        <v>2.7307058154608219</v>
      </c>
      <c r="Q39" s="10">
        <f t="shared" si="6"/>
        <v>2.7055088224198274</v>
      </c>
      <c r="R39" s="10">
        <f t="shared" si="6"/>
        <v>2.6650413388655365</v>
      </c>
      <c r="S39" s="10">
        <f t="shared" si="6"/>
        <v>2.6111000833690161</v>
      </c>
      <c r="T39" s="10">
        <f t="shared" si="6"/>
        <v>2.5417760056907626</v>
      </c>
      <c r="U39" s="10">
        <f t="shared" si="6"/>
        <v>2.4636869702238808</v>
      </c>
      <c r="V39" s="10">
        <f t="shared" si="6"/>
        <v>2.3868556377567463</v>
      </c>
      <c r="W39" s="10">
        <f t="shared" si="6"/>
        <v>2.3176815316777146</v>
      </c>
      <c r="X39" s="10">
        <f t="shared" si="6"/>
        <v>2.2580194477948066</v>
      </c>
      <c r="Y39" s="10">
        <f t="shared" si="6"/>
        <v>2.2079674557714348</v>
      </c>
      <c r="Z39" s="10">
        <f t="shared" si="6"/>
        <v>2.1645056863169971</v>
      </c>
      <c r="AA39" s="10">
        <f t="shared" si="6"/>
        <v>2.1221895822558294</v>
      </c>
      <c r="AB39" s="10">
        <f t="shared" si="6"/>
        <v>2.0777625544201275</v>
      </c>
    </row>
    <row r="40" spans="1:28" hidden="1" outlineLevel="1">
      <c r="A40" t="s">
        <v>38</v>
      </c>
      <c r="C40" s="10">
        <f>'Morizane 2018'!C107</f>
        <v>23.797015000000002</v>
      </c>
      <c r="D40" s="10">
        <f t="shared" ref="D40:AB40" si="7">$C40/$C29*D29</f>
        <v>23.299490254797053</v>
      </c>
      <c r="E40" s="10">
        <f t="shared" si="7"/>
        <v>22.631747528104498</v>
      </c>
      <c r="F40" s="10">
        <f t="shared" si="7"/>
        <v>21.879994570039194</v>
      </c>
      <c r="G40" s="10">
        <f t="shared" si="7"/>
        <v>21.172126971508778</v>
      </c>
      <c r="H40" s="10">
        <f t="shared" si="7"/>
        <v>20.589660975157472</v>
      </c>
      <c r="I40" s="10">
        <f t="shared" si="7"/>
        <v>20.113185598847885</v>
      </c>
      <c r="J40" s="10">
        <f t="shared" si="7"/>
        <v>19.770392179369789</v>
      </c>
      <c r="K40" s="10">
        <f t="shared" si="7"/>
        <v>19.551527114297382</v>
      </c>
      <c r="L40" s="10">
        <f t="shared" si="7"/>
        <v>19.432523022308253</v>
      </c>
      <c r="M40" s="10">
        <f t="shared" si="7"/>
        <v>19.398083092452222</v>
      </c>
      <c r="N40" s="10">
        <f t="shared" si="7"/>
        <v>19.44408275108648</v>
      </c>
      <c r="O40" s="10">
        <f t="shared" si="7"/>
        <v>19.581397765533993</v>
      </c>
      <c r="P40" s="10">
        <f t="shared" si="7"/>
        <v>19.809242750397448</v>
      </c>
      <c r="Q40" s="10">
        <f t="shared" si="7"/>
        <v>20.13066302455184</v>
      </c>
      <c r="R40" s="10">
        <f t="shared" si="7"/>
        <v>20.538318355269023</v>
      </c>
      <c r="S40" s="10">
        <f t="shared" si="7"/>
        <v>21.018894899696328</v>
      </c>
      <c r="T40" s="10">
        <f t="shared" si="7"/>
        <v>21.582563658790264</v>
      </c>
      <c r="U40" s="10">
        <f t="shared" si="7"/>
        <v>22.160923285796056</v>
      </c>
      <c r="V40" s="10">
        <f t="shared" si="7"/>
        <v>22.655719987019616</v>
      </c>
      <c r="W40" s="10">
        <f t="shared" si="7"/>
        <v>23.001167332980991</v>
      </c>
      <c r="X40" s="10">
        <f t="shared" si="7"/>
        <v>23.205744625295782</v>
      </c>
      <c r="Y40" s="10">
        <f t="shared" si="7"/>
        <v>23.276784294850437</v>
      </c>
      <c r="Z40" s="10">
        <f t="shared" si="7"/>
        <v>23.20907601169959</v>
      </c>
      <c r="AA40" s="10">
        <f t="shared" si="7"/>
        <v>23.006004474831943</v>
      </c>
      <c r="AB40" s="10">
        <f t="shared" si="7"/>
        <v>22.674783787201569</v>
      </c>
    </row>
    <row r="41" spans="1:28" hidden="1" outlineLevel="1">
      <c r="A41" t="s">
        <v>39</v>
      </c>
      <c r="C41" s="10">
        <f>'Morizane 2018'!C108</f>
        <v>49.332225000000008</v>
      </c>
      <c r="D41" s="10">
        <f t="shared" ref="D41:AB41" si="8">$C41/$C30*D30</f>
        <v>50.669208955667905</v>
      </c>
      <c r="E41" s="10">
        <f t="shared" si="8"/>
        <v>52.311142326436439</v>
      </c>
      <c r="F41" s="10">
        <f t="shared" si="8"/>
        <v>54.068169884907036</v>
      </c>
      <c r="G41" s="10">
        <f t="shared" si="8"/>
        <v>55.673897779348891</v>
      </c>
      <c r="H41" s="10">
        <f t="shared" si="8"/>
        <v>56.953087263582262</v>
      </c>
      <c r="I41" s="10">
        <f t="shared" si="8"/>
        <v>57.652321207113218</v>
      </c>
      <c r="J41" s="10">
        <f t="shared" si="8"/>
        <v>58.129717535665634</v>
      </c>
      <c r="K41" s="10">
        <f t="shared" si="8"/>
        <v>58.315734876554636</v>
      </c>
      <c r="L41" s="10">
        <f t="shared" si="8"/>
        <v>58.127130672935401</v>
      </c>
      <c r="M41" s="10">
        <f t="shared" si="8"/>
        <v>57.528300222612607</v>
      </c>
      <c r="N41" s="10">
        <f t="shared" si="8"/>
        <v>56.261465481691879</v>
      </c>
      <c r="O41" s="10">
        <f t="shared" si="8"/>
        <v>54.674930553763474</v>
      </c>
      <c r="P41" s="10">
        <f t="shared" si="8"/>
        <v>52.965848304938959</v>
      </c>
      <c r="Q41" s="10">
        <f t="shared" si="8"/>
        <v>51.423604566351926</v>
      </c>
      <c r="R41" s="10">
        <f t="shared" si="8"/>
        <v>50.218879268714907</v>
      </c>
      <c r="S41" s="10">
        <f t="shared" si="8"/>
        <v>49.102927183896469</v>
      </c>
      <c r="T41" s="10">
        <f t="shared" si="8"/>
        <v>48.348817824416201</v>
      </c>
      <c r="U41" s="10">
        <f t="shared" si="8"/>
        <v>47.91102664698073</v>
      </c>
      <c r="V41" s="10">
        <f t="shared" si="8"/>
        <v>47.741032305571011</v>
      </c>
      <c r="W41" s="10">
        <f t="shared" si="8"/>
        <v>47.813641160291176</v>
      </c>
      <c r="X41" s="10">
        <f t="shared" si="8"/>
        <v>47.942213892328027</v>
      </c>
      <c r="Y41" s="10">
        <f t="shared" si="8"/>
        <v>48.337473795230387</v>
      </c>
      <c r="Z41" s="10">
        <f t="shared" si="8"/>
        <v>48.983917362444302</v>
      </c>
      <c r="AA41" s="10">
        <f t="shared" si="8"/>
        <v>49.892160626267035</v>
      </c>
      <c r="AB41" s="10">
        <f t="shared" si="8"/>
        <v>51.047936968062082</v>
      </c>
    </row>
    <row r="42" spans="1:28" hidden="1" outlineLevel="1">
      <c r="A42" t="s">
        <v>40</v>
      </c>
      <c r="C42" s="10">
        <f>'Morizane 2018'!C109</f>
        <v>40.716280000000005</v>
      </c>
      <c r="D42" s="10">
        <f t="shared" ref="D42:AB42" si="9">$C42/$C31*D31</f>
        <v>41.59805442269753</v>
      </c>
      <c r="E42" s="10">
        <f t="shared" si="9"/>
        <v>42.42457130941937</v>
      </c>
      <c r="F42" s="10">
        <f t="shared" si="9"/>
        <v>43.25883357431821</v>
      </c>
      <c r="G42" s="10">
        <f t="shared" si="9"/>
        <v>44.235591331776199</v>
      </c>
      <c r="H42" s="10">
        <f t="shared" si="9"/>
        <v>45.400609931418522</v>
      </c>
      <c r="I42" s="10">
        <f t="shared" si="9"/>
        <v>46.140524064529089</v>
      </c>
      <c r="J42" s="10">
        <f t="shared" si="9"/>
        <v>46.881334653447162</v>
      </c>
      <c r="K42" s="10">
        <f t="shared" si="9"/>
        <v>47.77803634599109</v>
      </c>
      <c r="L42" s="10">
        <f t="shared" si="9"/>
        <v>49.099816892043705</v>
      </c>
      <c r="M42" s="10">
        <f t="shared" si="9"/>
        <v>50.968240821709649</v>
      </c>
      <c r="N42" s="10">
        <f t="shared" si="9"/>
        <v>52.603811636022805</v>
      </c>
      <c r="O42" s="10">
        <f t="shared" si="9"/>
        <v>54.553787431150219</v>
      </c>
      <c r="P42" s="10">
        <f t="shared" si="9"/>
        <v>56.622525691658211</v>
      </c>
      <c r="Q42" s="10">
        <f t="shared" si="9"/>
        <v>58.59632159824266</v>
      </c>
      <c r="R42" s="10">
        <f t="shared" si="9"/>
        <v>60.325308230304252</v>
      </c>
      <c r="S42" s="10">
        <f t="shared" si="9"/>
        <v>61.039891083596544</v>
      </c>
      <c r="T42" s="10">
        <f t="shared" si="9"/>
        <v>61.497390901709849</v>
      </c>
      <c r="U42" s="10">
        <f t="shared" si="9"/>
        <v>61.663967758561363</v>
      </c>
      <c r="V42" s="10">
        <f t="shared" si="9"/>
        <v>61.635112126768377</v>
      </c>
      <c r="W42" s="10">
        <f t="shared" si="9"/>
        <v>61.324041961558081</v>
      </c>
      <c r="X42" s="10">
        <f t="shared" si="9"/>
        <v>59.926170246562975</v>
      </c>
      <c r="Y42" s="10">
        <f t="shared" si="9"/>
        <v>58.281660487197669</v>
      </c>
      <c r="Z42" s="10">
        <f t="shared" si="9"/>
        <v>56.624144434716364</v>
      </c>
      <c r="AA42" s="10">
        <f t="shared" si="9"/>
        <v>55.316691813770269</v>
      </c>
      <c r="AB42" s="10">
        <f t="shared" si="9"/>
        <v>54.62034543290531</v>
      </c>
    </row>
    <row r="43" spans="1:28" hidden="1" outlineLevel="1">
      <c r="A43" t="s">
        <v>41</v>
      </c>
      <c r="C43" s="10">
        <f>'Morizane 2018'!C110</f>
        <v>8.2532999999999994</v>
      </c>
      <c r="D43" s="10">
        <f t="shared" ref="D43:AB43" si="10">$C43/$C32*D32</f>
        <v>9.0027150290489715</v>
      </c>
      <c r="E43" s="10">
        <f t="shared" si="10"/>
        <v>9.6670863359233064</v>
      </c>
      <c r="F43" s="10">
        <f t="shared" si="10"/>
        <v>10.250069887898496</v>
      </c>
      <c r="G43" s="10">
        <f t="shared" si="10"/>
        <v>10.691029064385418</v>
      </c>
      <c r="H43" s="10">
        <f t="shared" si="10"/>
        <v>11.017279233102416</v>
      </c>
      <c r="I43" s="10">
        <f t="shared" si="10"/>
        <v>11.83709469441516</v>
      </c>
      <c r="J43" s="10">
        <f t="shared" si="10"/>
        <v>12.503888747199813</v>
      </c>
      <c r="K43" s="10">
        <f t="shared" si="10"/>
        <v>13.032100762873789</v>
      </c>
      <c r="L43" s="10">
        <f t="shared" si="10"/>
        <v>13.384593299617386</v>
      </c>
      <c r="M43" s="10">
        <f t="shared" si="10"/>
        <v>13.590104299400899</v>
      </c>
      <c r="N43" s="10">
        <f t="shared" si="10"/>
        <v>14.300022258348784</v>
      </c>
      <c r="O43" s="10">
        <f t="shared" si="10"/>
        <v>14.822490569790476</v>
      </c>
      <c r="P43" s="10">
        <f t="shared" si="10"/>
        <v>15.221806676792822</v>
      </c>
      <c r="Q43" s="10">
        <f t="shared" si="10"/>
        <v>15.497038380528599</v>
      </c>
      <c r="R43" s="10">
        <f t="shared" si="10"/>
        <v>15.705486777658292</v>
      </c>
      <c r="S43" s="10">
        <f t="shared" si="10"/>
        <v>16.428154497649256</v>
      </c>
      <c r="T43" s="10">
        <f t="shared" si="10"/>
        <v>16.96672265966934</v>
      </c>
      <c r="U43" s="10">
        <f t="shared" si="10"/>
        <v>17.468643755294462</v>
      </c>
      <c r="V43" s="10">
        <f t="shared" si="10"/>
        <v>17.942021117038298</v>
      </c>
      <c r="W43" s="10">
        <f t="shared" si="10"/>
        <v>18.549101037656595</v>
      </c>
      <c r="X43" s="10">
        <f t="shared" si="10"/>
        <v>19.79460606445836</v>
      </c>
      <c r="Y43" s="10">
        <f t="shared" si="10"/>
        <v>20.947138823851922</v>
      </c>
      <c r="Z43" s="10">
        <f t="shared" si="10"/>
        <v>21.969493901186429</v>
      </c>
      <c r="AA43" s="10">
        <f t="shared" si="10"/>
        <v>22.711451339617668</v>
      </c>
      <c r="AB43" s="10">
        <f t="shared" si="10"/>
        <v>23.069371992448914</v>
      </c>
    </row>
    <row r="44" spans="1:28" hidden="1" outlineLevel="1">
      <c r="A44" t="s">
        <v>42</v>
      </c>
      <c r="C44" s="10">
        <f>'Morizane 2018'!C111</f>
        <v>0</v>
      </c>
      <c r="D44" s="10">
        <f t="shared" ref="D44:AB44" si="11">$C44/$C33*D33</f>
        <v>0</v>
      </c>
      <c r="E44" s="10">
        <f t="shared" si="11"/>
        <v>0</v>
      </c>
      <c r="F44" s="10">
        <f t="shared" si="11"/>
        <v>0</v>
      </c>
      <c r="G44" s="10">
        <f t="shared" si="11"/>
        <v>0</v>
      </c>
      <c r="H44" s="10">
        <f t="shared" si="11"/>
        <v>0</v>
      </c>
      <c r="I44" s="10">
        <f t="shared" si="11"/>
        <v>0</v>
      </c>
      <c r="J44" s="10">
        <f t="shared" si="11"/>
        <v>0</v>
      </c>
      <c r="K44" s="10">
        <f t="shared" si="11"/>
        <v>0</v>
      </c>
      <c r="L44" s="10">
        <f t="shared" si="11"/>
        <v>0</v>
      </c>
      <c r="M44" s="10">
        <f t="shared" si="11"/>
        <v>0</v>
      </c>
      <c r="N44" s="10">
        <f t="shared" si="11"/>
        <v>0</v>
      </c>
      <c r="O44" s="10">
        <f t="shared" si="11"/>
        <v>0</v>
      </c>
      <c r="P44" s="10">
        <f t="shared" si="11"/>
        <v>0</v>
      </c>
      <c r="Q44" s="10">
        <f t="shared" si="11"/>
        <v>0</v>
      </c>
      <c r="R44" s="10">
        <f t="shared" si="11"/>
        <v>0</v>
      </c>
      <c r="S44" s="10">
        <f t="shared" si="11"/>
        <v>0</v>
      </c>
      <c r="T44" s="10">
        <f t="shared" si="11"/>
        <v>0</v>
      </c>
      <c r="U44" s="10">
        <f t="shared" si="11"/>
        <v>0</v>
      </c>
      <c r="V44" s="10">
        <f t="shared" si="11"/>
        <v>0</v>
      </c>
      <c r="W44" s="10">
        <f t="shared" si="11"/>
        <v>0</v>
      </c>
      <c r="X44" s="10">
        <f t="shared" si="11"/>
        <v>0</v>
      </c>
      <c r="Y44" s="10">
        <f t="shared" si="11"/>
        <v>0</v>
      </c>
      <c r="Z44" s="10">
        <f t="shared" si="11"/>
        <v>0</v>
      </c>
      <c r="AA44" s="10">
        <f t="shared" si="11"/>
        <v>0</v>
      </c>
      <c r="AB44" s="10">
        <f t="shared" si="11"/>
        <v>0</v>
      </c>
    </row>
    <row r="45" spans="1:28" collapsed="1">
      <c r="A45" t="s">
        <v>68</v>
      </c>
      <c r="C45" s="10">
        <f>SUM(C36:C44)</f>
        <v>128.90154000000001</v>
      </c>
      <c r="D45" s="10">
        <f t="shared" ref="D45:AB45" si="12">SUM(D36:D44)</f>
        <v>131.38123959868449</v>
      </c>
      <c r="E45" s="10">
        <f t="shared" si="12"/>
        <v>133.85081937367008</v>
      </c>
      <c r="F45" s="10">
        <f t="shared" si="12"/>
        <v>136.27224976441551</v>
      </c>
      <c r="G45" s="10">
        <f t="shared" si="12"/>
        <v>138.58125725116105</v>
      </c>
      <c r="H45" s="10">
        <f t="shared" si="12"/>
        <v>140.75664480685302</v>
      </c>
      <c r="I45" s="10">
        <f t="shared" si="12"/>
        <v>142.52425476255397</v>
      </c>
      <c r="J45" s="10">
        <f t="shared" si="12"/>
        <v>144.04395444070369</v>
      </c>
      <c r="K45" s="10">
        <f t="shared" si="12"/>
        <v>145.40545971801984</v>
      </c>
      <c r="L45" s="10">
        <f t="shared" si="12"/>
        <v>146.73317558789108</v>
      </c>
      <c r="M45" s="10">
        <f t="shared" si="12"/>
        <v>148.12566447232152</v>
      </c>
      <c r="N45" s="10">
        <f t="shared" si="12"/>
        <v>149.19869192845573</v>
      </c>
      <c r="O45" s="10">
        <f t="shared" si="12"/>
        <v>150.16411956440862</v>
      </c>
      <c r="P45" s="10">
        <f t="shared" si="12"/>
        <v>151.08361336583931</v>
      </c>
      <c r="Q45" s="10">
        <f t="shared" si="12"/>
        <v>152.0299826988315</v>
      </c>
      <c r="R45" s="10">
        <f t="shared" si="12"/>
        <v>153.07142049104257</v>
      </c>
      <c r="S45" s="10">
        <f t="shared" si="12"/>
        <v>153.7649814445607</v>
      </c>
      <c r="T45" s="10">
        <f t="shared" si="12"/>
        <v>154.44784443083952</v>
      </c>
      <c r="U45" s="10">
        <f t="shared" si="12"/>
        <v>155.12698243020009</v>
      </c>
      <c r="V45" s="10">
        <f t="shared" si="12"/>
        <v>155.77066169798982</v>
      </c>
      <c r="W45" s="10">
        <f t="shared" si="12"/>
        <v>156.37043967112456</v>
      </c>
      <c r="X45" s="10">
        <f t="shared" si="12"/>
        <v>156.45427982024611</v>
      </c>
      <c r="Y45" s="10">
        <f t="shared" si="12"/>
        <v>156.34561037030184</v>
      </c>
      <c r="Z45" s="10">
        <f t="shared" si="12"/>
        <v>156.21585599664959</v>
      </c>
      <c r="AA45" s="10">
        <f t="shared" si="12"/>
        <v>156.28466264604694</v>
      </c>
      <c r="AB45" s="10">
        <f t="shared" si="12"/>
        <v>156.69778296726054</v>
      </c>
    </row>
    <row r="47" spans="1:28" ht="18">
      <c r="A47" s="17" t="s">
        <v>164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hidden="1" outlineLevel="1">
      <c r="A48" t="s">
        <v>34</v>
      </c>
      <c r="C48" s="10">
        <f>'Morizane 2018'!D103</f>
        <v>0</v>
      </c>
      <c r="D48" s="10">
        <f t="shared" ref="D48:AB48" si="13">$C48/$C25*D25</f>
        <v>0</v>
      </c>
      <c r="E48" s="10">
        <f t="shared" si="13"/>
        <v>0</v>
      </c>
      <c r="F48" s="10">
        <f t="shared" si="13"/>
        <v>0</v>
      </c>
      <c r="G48" s="10">
        <f t="shared" si="13"/>
        <v>0</v>
      </c>
      <c r="H48" s="10">
        <f t="shared" si="13"/>
        <v>0</v>
      </c>
      <c r="I48" s="10">
        <f t="shared" si="13"/>
        <v>0</v>
      </c>
      <c r="J48" s="10">
        <f t="shared" si="13"/>
        <v>0</v>
      </c>
      <c r="K48" s="10">
        <f t="shared" si="13"/>
        <v>0</v>
      </c>
      <c r="L48" s="10">
        <f t="shared" si="13"/>
        <v>0</v>
      </c>
      <c r="M48" s="10">
        <f t="shared" si="13"/>
        <v>0</v>
      </c>
      <c r="N48" s="10">
        <f t="shared" si="13"/>
        <v>0</v>
      </c>
      <c r="O48" s="10">
        <f t="shared" si="13"/>
        <v>0</v>
      </c>
      <c r="P48" s="10">
        <f t="shared" si="13"/>
        <v>0</v>
      </c>
      <c r="Q48" s="10">
        <f t="shared" si="13"/>
        <v>0</v>
      </c>
      <c r="R48" s="10">
        <f t="shared" si="13"/>
        <v>0</v>
      </c>
      <c r="S48" s="10">
        <f t="shared" si="13"/>
        <v>0</v>
      </c>
      <c r="T48" s="10">
        <f t="shared" si="13"/>
        <v>0</v>
      </c>
      <c r="U48" s="10">
        <f t="shared" si="13"/>
        <v>0</v>
      </c>
      <c r="V48" s="10">
        <f t="shared" si="13"/>
        <v>0</v>
      </c>
      <c r="W48" s="10">
        <f t="shared" si="13"/>
        <v>0</v>
      </c>
      <c r="X48" s="10">
        <f t="shared" si="13"/>
        <v>0</v>
      </c>
      <c r="Y48" s="10">
        <f t="shared" si="13"/>
        <v>0</v>
      </c>
      <c r="Z48" s="10">
        <f t="shared" si="13"/>
        <v>0</v>
      </c>
      <c r="AA48" s="10">
        <f t="shared" si="13"/>
        <v>0</v>
      </c>
      <c r="AB48" s="10">
        <f t="shared" si="13"/>
        <v>0</v>
      </c>
    </row>
    <row r="49" spans="1:28" hidden="1" outlineLevel="1">
      <c r="A49" t="s">
        <v>35</v>
      </c>
      <c r="C49" s="10">
        <f>'Morizane 2018'!D104</f>
        <v>3.0012000000000003</v>
      </c>
      <c r="D49" s="10">
        <f t="shared" ref="D49:AB49" si="14">$C49/$C26*D26</f>
        <v>2.9226270979693862</v>
      </c>
      <c r="E49" s="10">
        <f t="shared" si="14"/>
        <v>2.8562065272402979</v>
      </c>
      <c r="F49" s="10">
        <f t="shared" si="14"/>
        <v>2.79839920483577</v>
      </c>
      <c r="G49" s="10">
        <f t="shared" si="14"/>
        <v>2.7422006412947559</v>
      </c>
      <c r="H49" s="10">
        <f t="shared" si="14"/>
        <v>2.6833420765766327</v>
      </c>
      <c r="I49" s="10">
        <f t="shared" si="14"/>
        <v>2.6265300396556652</v>
      </c>
      <c r="J49" s="10">
        <f t="shared" si="14"/>
        <v>2.5695437904705214</v>
      </c>
      <c r="K49" s="10">
        <f t="shared" si="14"/>
        <v>2.514267768534022</v>
      </c>
      <c r="L49" s="10">
        <f t="shared" si="14"/>
        <v>2.4637941482739154</v>
      </c>
      <c r="M49" s="10">
        <f t="shared" si="14"/>
        <v>2.4198477057146559</v>
      </c>
      <c r="N49" s="10">
        <f t="shared" si="14"/>
        <v>2.3844701190614623</v>
      </c>
      <c r="O49" s="10">
        <f t="shared" si="14"/>
        <v>2.355469372759087</v>
      </c>
      <c r="P49" s="10">
        <f t="shared" si="14"/>
        <v>2.3314163293684298</v>
      </c>
      <c r="Q49" s="10">
        <f t="shared" si="14"/>
        <v>2.3100191836540129</v>
      </c>
      <c r="R49" s="10">
        <f t="shared" si="14"/>
        <v>2.2896106086035521</v>
      </c>
      <c r="S49" s="10">
        <f t="shared" si="14"/>
        <v>2.2732104078112845</v>
      </c>
      <c r="T49" s="10">
        <f t="shared" si="14"/>
        <v>2.2584825701460032</v>
      </c>
      <c r="U49" s="10">
        <f t="shared" si="14"/>
        <v>2.2444870208631174</v>
      </c>
      <c r="V49" s="10">
        <f t="shared" si="14"/>
        <v>2.2301865068565392</v>
      </c>
      <c r="W49" s="10">
        <f t="shared" si="14"/>
        <v>2.214852843244743</v>
      </c>
      <c r="X49" s="10">
        <f t="shared" si="14"/>
        <v>2.2012141120147151</v>
      </c>
      <c r="Y49" s="10">
        <f t="shared" si="14"/>
        <v>2.1864995174658759</v>
      </c>
      <c r="Z49" s="10">
        <f t="shared" si="14"/>
        <v>2.1712147228189775</v>
      </c>
      <c r="AA49" s="10">
        <f t="shared" si="14"/>
        <v>2.156495838246502</v>
      </c>
      <c r="AB49" s="10">
        <f t="shared" si="14"/>
        <v>2.1429067220724387</v>
      </c>
    </row>
    <row r="50" spans="1:28" hidden="1" outlineLevel="1">
      <c r="A50" t="s">
        <v>36</v>
      </c>
      <c r="C50" s="10">
        <f>'Morizane 2018'!D105</f>
        <v>8.2533000000000012</v>
      </c>
      <c r="D50" s="10">
        <f t="shared" ref="D50:AB50" si="15">$C50/$C27*D27</f>
        <v>8.3266104998097017</v>
      </c>
      <c r="E50" s="10">
        <f t="shared" si="15"/>
        <v>8.3488221647961058</v>
      </c>
      <c r="F50" s="10">
        <f t="shared" si="15"/>
        <v>8.3190392108102973</v>
      </c>
      <c r="G50" s="10">
        <f t="shared" si="15"/>
        <v>8.239753298621908</v>
      </c>
      <c r="H50" s="10">
        <f t="shared" si="15"/>
        <v>8.1143052589522231</v>
      </c>
      <c r="I50" s="10">
        <f t="shared" si="15"/>
        <v>7.9491762242443658</v>
      </c>
      <c r="J50" s="10">
        <f t="shared" si="15"/>
        <v>7.7356124000613189</v>
      </c>
      <c r="K50" s="10">
        <f t="shared" si="15"/>
        <v>7.494629313497958</v>
      </c>
      <c r="L50" s="10">
        <f t="shared" si="15"/>
        <v>7.2574329708257466</v>
      </c>
      <c r="M50" s="10">
        <f t="shared" si="15"/>
        <v>7.0438972910636757</v>
      </c>
      <c r="N50" s="10">
        <f t="shared" si="15"/>
        <v>6.8603587267407837</v>
      </c>
      <c r="O50" s="10">
        <f t="shared" si="15"/>
        <v>6.7061127878194888</v>
      </c>
      <c r="P50" s="10">
        <f t="shared" si="15"/>
        <v>6.5723098129288209</v>
      </c>
      <c r="Q50" s="10">
        <f t="shared" si="15"/>
        <v>6.4420350050615731</v>
      </c>
      <c r="R50" s="10">
        <f t="shared" si="15"/>
        <v>6.3050086144558763</v>
      </c>
      <c r="S50" s="10">
        <f t="shared" si="15"/>
        <v>6.1727773295741457</v>
      </c>
      <c r="T50" s="10">
        <f t="shared" si="15"/>
        <v>6.0406194840409011</v>
      </c>
      <c r="U50" s="10">
        <f t="shared" si="15"/>
        <v>5.9123759118063557</v>
      </c>
      <c r="V50" s="10">
        <f t="shared" si="15"/>
        <v>5.7949675018913958</v>
      </c>
      <c r="W50" s="10">
        <f t="shared" si="15"/>
        <v>5.6923731718116528</v>
      </c>
      <c r="X50" s="10">
        <f t="shared" si="15"/>
        <v>5.6102741367952902</v>
      </c>
      <c r="Y50" s="10">
        <f t="shared" si="15"/>
        <v>5.5431941081793834</v>
      </c>
      <c r="Z50" s="10">
        <f t="shared" si="15"/>
        <v>5.4875908467300238</v>
      </c>
      <c r="AA50" s="10">
        <f t="shared" si="15"/>
        <v>5.4381213100273484</v>
      </c>
      <c r="AB50" s="10">
        <f t="shared" si="15"/>
        <v>5.3909077245686161</v>
      </c>
    </row>
    <row r="51" spans="1:28" hidden="1" outlineLevel="1">
      <c r="A51" t="s">
        <v>37</v>
      </c>
      <c r="C51" s="10">
        <f>'Morizane 2018'!D106</f>
        <v>19.55782</v>
      </c>
      <c r="D51" s="10">
        <f t="shared" ref="D51:AB51" si="16">$C51/$C28*D28</f>
        <v>19.595999019871854</v>
      </c>
      <c r="E51" s="10">
        <f t="shared" si="16"/>
        <v>19.721196560665422</v>
      </c>
      <c r="F51" s="10">
        <f t="shared" si="16"/>
        <v>19.933942522031288</v>
      </c>
      <c r="G51" s="10">
        <f t="shared" si="16"/>
        <v>20.238613575140072</v>
      </c>
      <c r="H51" s="10">
        <f t="shared" si="16"/>
        <v>20.628782187201796</v>
      </c>
      <c r="I51" s="10">
        <f t="shared" si="16"/>
        <v>21.101100242263847</v>
      </c>
      <c r="J51" s="10">
        <f t="shared" si="16"/>
        <v>21.649917560325534</v>
      </c>
      <c r="K51" s="10">
        <f t="shared" si="16"/>
        <v>22.21059013330569</v>
      </c>
      <c r="L51" s="10">
        <f t="shared" si="16"/>
        <v>22.689045776065882</v>
      </c>
      <c r="M51" s="10">
        <f t="shared" si="16"/>
        <v>23.021190376388752</v>
      </c>
      <c r="N51" s="10">
        <f t="shared" si="16"/>
        <v>23.22316212811387</v>
      </c>
      <c r="O51" s="10">
        <f t="shared" si="16"/>
        <v>23.287843629094844</v>
      </c>
      <c r="P51" s="10">
        <f t="shared" si="16"/>
        <v>23.21099943141699</v>
      </c>
      <c r="Q51" s="10">
        <f t="shared" si="16"/>
        <v>22.996824990568538</v>
      </c>
      <c r="R51" s="10">
        <f t="shared" si="16"/>
        <v>22.652851380357063</v>
      </c>
      <c r="S51" s="10">
        <f t="shared" si="16"/>
        <v>22.194350708636641</v>
      </c>
      <c r="T51" s="10">
        <f t="shared" si="16"/>
        <v>21.605096048371482</v>
      </c>
      <c r="U51" s="10">
        <f t="shared" si="16"/>
        <v>20.941339246902988</v>
      </c>
      <c r="V51" s="10">
        <f t="shared" si="16"/>
        <v>20.288272920932346</v>
      </c>
      <c r="W51" s="10">
        <f t="shared" si="16"/>
        <v>19.700293019260577</v>
      </c>
      <c r="X51" s="10">
        <f t="shared" si="16"/>
        <v>19.193165306255857</v>
      </c>
      <c r="Y51" s="10">
        <f t="shared" si="16"/>
        <v>18.767723374057198</v>
      </c>
      <c r="Z51" s="10">
        <f t="shared" si="16"/>
        <v>18.398298333694477</v>
      </c>
      <c r="AA51" s="10">
        <f t="shared" si="16"/>
        <v>18.038611449174553</v>
      </c>
      <c r="AB51" s="10">
        <f t="shared" si="16"/>
        <v>17.660981712571086</v>
      </c>
    </row>
    <row r="52" spans="1:28" hidden="1" outlineLevel="1">
      <c r="A52" t="s">
        <v>38</v>
      </c>
      <c r="C52" s="10">
        <f>'Morizane 2018'!D107</f>
        <v>75.717775000000003</v>
      </c>
      <c r="D52" s="10">
        <f t="shared" ref="D52:AB52" si="17">$C52/$C29*D29</f>
        <v>74.134741719808801</v>
      </c>
      <c r="E52" s="10">
        <f t="shared" si="17"/>
        <v>72.010105771241584</v>
      </c>
      <c r="F52" s="10">
        <f t="shared" si="17"/>
        <v>69.618164541033806</v>
      </c>
      <c r="G52" s="10">
        <f t="shared" si="17"/>
        <v>67.365858545709756</v>
      </c>
      <c r="H52" s="10">
        <f t="shared" si="17"/>
        <v>65.512557648228324</v>
      </c>
      <c r="I52" s="10">
        <f t="shared" si="17"/>
        <v>63.996499632697812</v>
      </c>
      <c r="J52" s="10">
        <f t="shared" si="17"/>
        <v>62.905793297994791</v>
      </c>
      <c r="K52" s="10">
        <f t="shared" si="17"/>
        <v>62.209404454582589</v>
      </c>
      <c r="L52" s="10">
        <f t="shared" si="17"/>
        <v>61.830755070980807</v>
      </c>
      <c r="M52" s="10">
        <f t="shared" si="17"/>
        <v>61.721173475984337</v>
      </c>
      <c r="N52" s="10">
        <f t="shared" si="17"/>
        <v>61.867536026184261</v>
      </c>
      <c r="O52" s="10">
        <f t="shared" si="17"/>
        <v>62.304447435789982</v>
      </c>
      <c r="P52" s="10">
        <f t="shared" si="17"/>
        <v>63.029408751264612</v>
      </c>
      <c r="Q52" s="10">
        <f t="shared" si="17"/>
        <v>64.05210962357404</v>
      </c>
      <c r="R52" s="10">
        <f t="shared" si="17"/>
        <v>65.349194766765081</v>
      </c>
      <c r="S52" s="10">
        <f t="shared" si="17"/>
        <v>66.878301953579225</v>
      </c>
      <c r="T52" s="10">
        <f t="shared" si="17"/>
        <v>68.67179345978721</v>
      </c>
      <c r="U52" s="10">
        <f t="shared" si="17"/>
        <v>70.51202863662381</v>
      </c>
      <c r="V52" s="10">
        <f t="shared" si="17"/>
        <v>72.0863817768806</v>
      </c>
      <c r="W52" s="10">
        <f t="shared" si="17"/>
        <v>73.18553242312133</v>
      </c>
      <c r="X52" s="10">
        <f t="shared" si="17"/>
        <v>73.836460171395672</v>
      </c>
      <c r="Y52" s="10">
        <f t="shared" si="17"/>
        <v>74.062495483615038</v>
      </c>
      <c r="Z52" s="10">
        <f t="shared" si="17"/>
        <v>73.847060037225972</v>
      </c>
      <c r="AA52" s="10">
        <f t="shared" si="17"/>
        <v>73.200923329010735</v>
      </c>
      <c r="AB52" s="10">
        <f t="shared" si="17"/>
        <v>72.147039322914083</v>
      </c>
    </row>
    <row r="53" spans="1:28" hidden="1" outlineLevel="1">
      <c r="A53" t="s">
        <v>39</v>
      </c>
      <c r="C53" s="10">
        <f>'Morizane 2018'!D108</f>
        <v>187.46245499999998</v>
      </c>
      <c r="D53" s="10">
        <f t="shared" ref="D53:AB53" si="18">$C53/$C30*D30</f>
        <v>192.54299403153797</v>
      </c>
      <c r="E53" s="10">
        <f t="shared" si="18"/>
        <v>198.7823408404584</v>
      </c>
      <c r="F53" s="10">
        <f t="shared" si="18"/>
        <v>205.45904556264668</v>
      </c>
      <c r="G53" s="10">
        <f t="shared" si="18"/>
        <v>211.5608115615257</v>
      </c>
      <c r="H53" s="10">
        <f t="shared" si="18"/>
        <v>216.42173160161252</v>
      </c>
      <c r="I53" s="10">
        <f t="shared" si="18"/>
        <v>219.07882058703012</v>
      </c>
      <c r="J53" s="10">
        <f t="shared" si="18"/>
        <v>220.89292663552934</v>
      </c>
      <c r="K53" s="10">
        <f t="shared" si="18"/>
        <v>221.59979253090754</v>
      </c>
      <c r="L53" s="10">
        <f t="shared" si="18"/>
        <v>220.88309655715443</v>
      </c>
      <c r="M53" s="10">
        <f t="shared" si="18"/>
        <v>218.60754084592782</v>
      </c>
      <c r="N53" s="10">
        <f t="shared" si="18"/>
        <v>213.79356883042905</v>
      </c>
      <c r="O53" s="10">
        <f t="shared" si="18"/>
        <v>207.76473610430114</v>
      </c>
      <c r="P53" s="10">
        <f t="shared" si="18"/>
        <v>201.27022355876798</v>
      </c>
      <c r="Q53" s="10">
        <f t="shared" si="18"/>
        <v>195.40969735213727</v>
      </c>
      <c r="R53" s="10">
        <f t="shared" si="18"/>
        <v>190.8317412211166</v>
      </c>
      <c r="S53" s="10">
        <f t="shared" si="18"/>
        <v>186.59112329880651</v>
      </c>
      <c r="T53" s="10">
        <f t="shared" si="18"/>
        <v>183.72550773278149</v>
      </c>
      <c r="U53" s="10">
        <f t="shared" si="18"/>
        <v>182.06190125852672</v>
      </c>
      <c r="V53" s="10">
        <f t="shared" si="18"/>
        <v>181.41592276116978</v>
      </c>
      <c r="W53" s="10">
        <f t="shared" si="18"/>
        <v>181.6918364091064</v>
      </c>
      <c r="X53" s="10">
        <f t="shared" si="18"/>
        <v>182.18041279084645</v>
      </c>
      <c r="Y53" s="10">
        <f t="shared" si="18"/>
        <v>183.6824004218754</v>
      </c>
      <c r="Z53" s="10">
        <f t="shared" si="18"/>
        <v>186.13888597728828</v>
      </c>
      <c r="AA53" s="10">
        <f t="shared" si="18"/>
        <v>189.59021037981466</v>
      </c>
      <c r="AB53" s="10">
        <f t="shared" si="18"/>
        <v>193.98216047863585</v>
      </c>
    </row>
    <row r="54" spans="1:28" hidden="1" outlineLevel="1">
      <c r="A54" t="s">
        <v>40</v>
      </c>
      <c r="C54" s="10">
        <f>'Morizane 2018'!D109</f>
        <v>251.70063999999999</v>
      </c>
      <c r="D54" s="10">
        <f t="shared" ref="D54:AB54" si="19">$C54/$C31*D31</f>
        <v>257.15160915849378</v>
      </c>
      <c r="E54" s="10">
        <f t="shared" si="19"/>
        <v>262.26098627641062</v>
      </c>
      <c r="F54" s="10">
        <f t="shared" si="19"/>
        <v>267.4182439139671</v>
      </c>
      <c r="G54" s="10">
        <f t="shared" si="19"/>
        <v>273.45638277825282</v>
      </c>
      <c r="H54" s="10">
        <f t="shared" si="19"/>
        <v>280.65831593967812</v>
      </c>
      <c r="I54" s="10">
        <f t="shared" si="19"/>
        <v>285.2323305807252</v>
      </c>
      <c r="J54" s="10">
        <f t="shared" si="19"/>
        <v>289.81188694858241</v>
      </c>
      <c r="K54" s="10">
        <f t="shared" si="19"/>
        <v>295.35513377521761</v>
      </c>
      <c r="L54" s="10">
        <f t="shared" si="19"/>
        <v>303.52614078717926</v>
      </c>
      <c r="M54" s="10">
        <f t="shared" si="19"/>
        <v>315.07639780693233</v>
      </c>
      <c r="N54" s="10">
        <f t="shared" si="19"/>
        <v>325.18719920450457</v>
      </c>
      <c r="O54" s="10">
        <f t="shared" si="19"/>
        <v>337.2415950289286</v>
      </c>
      <c r="P54" s="10">
        <f t="shared" si="19"/>
        <v>350.03015882115983</v>
      </c>
      <c r="Q54" s="10">
        <f t="shared" si="19"/>
        <v>362.23180624368183</v>
      </c>
      <c r="R54" s="10">
        <f t="shared" si="19"/>
        <v>372.92008724188082</v>
      </c>
      <c r="S54" s="10">
        <f t="shared" si="19"/>
        <v>377.3375085167786</v>
      </c>
      <c r="T54" s="10">
        <f t="shared" si="19"/>
        <v>380.16568921056995</v>
      </c>
      <c r="U54" s="10">
        <f t="shared" si="19"/>
        <v>381.19543705292472</v>
      </c>
      <c r="V54" s="10">
        <f t="shared" si="19"/>
        <v>381.01705678365903</v>
      </c>
      <c r="W54" s="10">
        <f t="shared" si="19"/>
        <v>379.09407758054084</v>
      </c>
      <c r="X54" s="10">
        <f t="shared" si="19"/>
        <v>370.45268879693469</v>
      </c>
      <c r="Y54" s="10">
        <f t="shared" si="19"/>
        <v>360.28662846631283</v>
      </c>
      <c r="Z54" s="10">
        <f t="shared" si="19"/>
        <v>350.04016559642838</v>
      </c>
      <c r="AA54" s="10">
        <f t="shared" si="19"/>
        <v>341.95773121239796</v>
      </c>
      <c r="AB54" s="10">
        <f t="shared" si="19"/>
        <v>337.65304449432369</v>
      </c>
    </row>
    <row r="55" spans="1:28" hidden="1" outlineLevel="1">
      <c r="A55" t="s">
        <v>41</v>
      </c>
      <c r="C55" s="10">
        <f>'Morizane 2018'!D110</f>
        <v>51.99579</v>
      </c>
      <c r="D55" s="10">
        <f t="shared" ref="D55:AB55" si="20">$C55/$C32*D32</f>
        <v>56.717104683008522</v>
      </c>
      <c r="E55" s="10">
        <f t="shared" si="20"/>
        <v>60.902643916316833</v>
      </c>
      <c r="F55" s="10">
        <f t="shared" si="20"/>
        <v>64.575440293760522</v>
      </c>
      <c r="G55" s="10">
        <f t="shared" si="20"/>
        <v>67.353483105628129</v>
      </c>
      <c r="H55" s="10">
        <f t="shared" si="20"/>
        <v>69.40885916854522</v>
      </c>
      <c r="I55" s="10">
        <f t="shared" si="20"/>
        <v>74.573696574815514</v>
      </c>
      <c r="J55" s="10">
        <f t="shared" si="20"/>
        <v>78.774499107358821</v>
      </c>
      <c r="K55" s="10">
        <f t="shared" si="20"/>
        <v>82.10223480610486</v>
      </c>
      <c r="L55" s="10">
        <f t="shared" si="20"/>
        <v>84.322937787589524</v>
      </c>
      <c r="M55" s="10">
        <f t="shared" si="20"/>
        <v>85.617657086225663</v>
      </c>
      <c r="N55" s="10">
        <f t="shared" si="20"/>
        <v>90.090140227597331</v>
      </c>
      <c r="O55" s="10">
        <f t="shared" si="20"/>
        <v>93.381690589680005</v>
      </c>
      <c r="P55" s="10">
        <f t="shared" si="20"/>
        <v>95.89738206379478</v>
      </c>
      <c r="Q55" s="10">
        <f t="shared" si="20"/>
        <v>97.631341797330165</v>
      </c>
      <c r="R55" s="10">
        <f t="shared" si="20"/>
        <v>98.944566699247233</v>
      </c>
      <c r="S55" s="10">
        <f t="shared" si="20"/>
        <v>103.4973733351903</v>
      </c>
      <c r="T55" s="10">
        <f t="shared" si="20"/>
        <v>106.89035275591685</v>
      </c>
      <c r="U55" s="10">
        <f t="shared" si="20"/>
        <v>110.05245565835511</v>
      </c>
      <c r="V55" s="10">
        <f t="shared" si="20"/>
        <v>113.03473303734127</v>
      </c>
      <c r="W55" s="10">
        <f t="shared" si="20"/>
        <v>116.85933653723654</v>
      </c>
      <c r="X55" s="10">
        <f t="shared" si="20"/>
        <v>124.70601820608768</v>
      </c>
      <c r="Y55" s="10">
        <f t="shared" si="20"/>
        <v>131.96697459026711</v>
      </c>
      <c r="Z55" s="10">
        <f t="shared" si="20"/>
        <v>138.40781157747452</v>
      </c>
      <c r="AA55" s="10">
        <f t="shared" si="20"/>
        <v>143.08214343959131</v>
      </c>
      <c r="AB55" s="10">
        <f t="shared" si="20"/>
        <v>145.33704355242816</v>
      </c>
    </row>
    <row r="56" spans="1:28" hidden="1" outlineLevel="1">
      <c r="A56" t="s">
        <v>42</v>
      </c>
      <c r="C56" s="10">
        <f>'Morizane 2018'!D111</f>
        <v>0</v>
      </c>
      <c r="D56" s="10">
        <f t="shared" ref="D56:AB56" si="21">$C56/$C33*D33</f>
        <v>0</v>
      </c>
      <c r="E56" s="10">
        <f t="shared" si="21"/>
        <v>0</v>
      </c>
      <c r="F56" s="10">
        <f t="shared" si="21"/>
        <v>0</v>
      </c>
      <c r="G56" s="10">
        <f t="shared" si="21"/>
        <v>0</v>
      </c>
      <c r="H56" s="10">
        <f t="shared" si="21"/>
        <v>0</v>
      </c>
      <c r="I56" s="10">
        <f t="shared" si="21"/>
        <v>0</v>
      </c>
      <c r="J56" s="10">
        <f t="shared" si="21"/>
        <v>0</v>
      </c>
      <c r="K56" s="10">
        <f t="shared" si="21"/>
        <v>0</v>
      </c>
      <c r="L56" s="10">
        <f t="shared" si="21"/>
        <v>0</v>
      </c>
      <c r="M56" s="10">
        <f t="shared" si="21"/>
        <v>0</v>
      </c>
      <c r="N56" s="10">
        <f t="shared" si="21"/>
        <v>0</v>
      </c>
      <c r="O56" s="10">
        <f t="shared" si="21"/>
        <v>0</v>
      </c>
      <c r="P56" s="10">
        <f t="shared" si="21"/>
        <v>0</v>
      </c>
      <c r="Q56" s="10">
        <f t="shared" si="21"/>
        <v>0</v>
      </c>
      <c r="R56" s="10">
        <f t="shared" si="21"/>
        <v>0</v>
      </c>
      <c r="S56" s="10">
        <f t="shared" si="21"/>
        <v>0</v>
      </c>
      <c r="T56" s="10">
        <f t="shared" si="21"/>
        <v>0</v>
      </c>
      <c r="U56" s="10">
        <f t="shared" si="21"/>
        <v>0</v>
      </c>
      <c r="V56" s="10">
        <f t="shared" si="21"/>
        <v>0</v>
      </c>
      <c r="W56" s="10">
        <f t="shared" si="21"/>
        <v>0</v>
      </c>
      <c r="X56" s="10">
        <f t="shared" si="21"/>
        <v>0</v>
      </c>
      <c r="Y56" s="10">
        <f t="shared" si="21"/>
        <v>0</v>
      </c>
      <c r="Z56" s="10">
        <f t="shared" si="21"/>
        <v>0</v>
      </c>
      <c r="AA56" s="10">
        <f t="shared" si="21"/>
        <v>0</v>
      </c>
      <c r="AB56" s="10">
        <f t="shared" si="21"/>
        <v>0</v>
      </c>
    </row>
    <row r="57" spans="1:28" collapsed="1">
      <c r="A57" t="s">
        <v>68</v>
      </c>
      <c r="C57" s="10">
        <f t="shared" ref="C57:AB57" si="22">SUM(C48:C56)</f>
        <v>597.6889799999999</v>
      </c>
      <c r="D57" s="10">
        <f t="shared" si="22"/>
        <v>611.39168621049998</v>
      </c>
      <c r="E57" s="10">
        <f t="shared" si="22"/>
        <v>624.88230205712932</v>
      </c>
      <c r="F57" s="10">
        <f t="shared" si="22"/>
        <v>638.12227524908542</v>
      </c>
      <c r="G57" s="10">
        <f t="shared" si="22"/>
        <v>650.9571035061731</v>
      </c>
      <c r="H57" s="10">
        <f t="shared" si="22"/>
        <v>663.42789388079473</v>
      </c>
      <c r="I57" s="10">
        <f t="shared" si="22"/>
        <v>674.55815388143253</v>
      </c>
      <c r="J57" s="10">
        <f t="shared" si="22"/>
        <v>684.3401797403227</v>
      </c>
      <c r="K57" s="10">
        <f t="shared" si="22"/>
        <v>693.4860527821503</v>
      </c>
      <c r="L57" s="10">
        <f t="shared" si="22"/>
        <v>702.97320309806969</v>
      </c>
      <c r="M57" s="10">
        <f t="shared" si="22"/>
        <v>713.50770458823729</v>
      </c>
      <c r="N57" s="10">
        <f t="shared" si="22"/>
        <v>723.40643526263136</v>
      </c>
      <c r="O57" s="10">
        <f t="shared" si="22"/>
        <v>733.04189494837317</v>
      </c>
      <c r="P57" s="10">
        <f t="shared" si="22"/>
        <v>742.34189876870141</v>
      </c>
      <c r="Q57" s="10">
        <f t="shared" si="22"/>
        <v>751.0738341960074</v>
      </c>
      <c r="R57" s="10">
        <f t="shared" si="22"/>
        <v>759.29306053242624</v>
      </c>
      <c r="S57" s="10">
        <f t="shared" si="22"/>
        <v>764.94464555037666</v>
      </c>
      <c r="T57" s="10">
        <f t="shared" si="22"/>
        <v>769.35754126161396</v>
      </c>
      <c r="U57" s="10">
        <f t="shared" si="22"/>
        <v>772.92002478600284</v>
      </c>
      <c r="V57" s="10">
        <f t="shared" si="22"/>
        <v>775.86752128873104</v>
      </c>
      <c r="W57" s="10">
        <f t="shared" si="22"/>
        <v>778.43830198432204</v>
      </c>
      <c r="X57" s="10">
        <f t="shared" si="22"/>
        <v>778.18023352033038</v>
      </c>
      <c r="Y57" s="10">
        <f t="shared" si="22"/>
        <v>776.49591596177277</v>
      </c>
      <c r="Z57" s="10">
        <f t="shared" si="22"/>
        <v>774.49102709166061</v>
      </c>
      <c r="AA57" s="10">
        <f t="shared" si="22"/>
        <v>773.46423695826309</v>
      </c>
      <c r="AB57" s="10">
        <f t="shared" si="22"/>
        <v>774.31408400751388</v>
      </c>
    </row>
    <row r="59" spans="1:28" ht="18">
      <c r="A59" s="17" t="s">
        <v>170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hidden="1" outlineLevel="1">
      <c r="A60" t="s">
        <v>34</v>
      </c>
      <c r="C60" s="10">
        <f>'Morizane 2018'!E103</f>
        <v>1.5005999999999999</v>
      </c>
      <c r="D60" s="10">
        <f t="shared" ref="D60:AB60" si="23">$C60/$C25*D25</f>
        <v>1.4785009235091828</v>
      </c>
      <c r="E60" s="10">
        <f t="shared" si="23"/>
        <v>1.4601957692903611</v>
      </c>
      <c r="F60" s="10">
        <f t="shared" si="23"/>
        <v>1.444906971210925</v>
      </c>
      <c r="G60" s="10">
        <f t="shared" si="23"/>
        <v>1.4313248155889651</v>
      </c>
      <c r="H60" s="10">
        <f t="shared" si="23"/>
        <v>1.4184353943560239</v>
      </c>
      <c r="I60" s="10">
        <f t="shared" si="23"/>
        <v>1.4080372801169532</v>
      </c>
      <c r="J60" s="10">
        <f t="shared" si="23"/>
        <v>1.3986222366184222</v>
      </c>
      <c r="K60" s="10">
        <f t="shared" si="23"/>
        <v>1.3897302640217291</v>
      </c>
      <c r="L60" s="10">
        <f t="shared" si="23"/>
        <v>1.3807456630740098</v>
      </c>
      <c r="M60" s="10">
        <f t="shared" si="23"/>
        <v>1.3711435009970239</v>
      </c>
      <c r="N60" s="10">
        <f t="shared" si="23"/>
        <v>1.3624971797181904</v>
      </c>
      <c r="O60" s="10">
        <f t="shared" si="23"/>
        <v>1.3531804665671683</v>
      </c>
      <c r="P60" s="10">
        <f t="shared" si="23"/>
        <v>1.343553285526023</v>
      </c>
      <c r="Q60" s="10">
        <f t="shared" si="23"/>
        <v>1.3342881230778965</v>
      </c>
      <c r="R60" s="10">
        <f t="shared" si="23"/>
        <v>1.3256561149739077</v>
      </c>
      <c r="S60" s="10">
        <f t="shared" si="23"/>
        <v>1.3193673946897873</v>
      </c>
      <c r="T60" s="10">
        <f t="shared" si="23"/>
        <v>1.3139844772755014</v>
      </c>
      <c r="U60" s="10">
        <f t="shared" si="23"/>
        <v>1.3087791363231074</v>
      </c>
      <c r="V60" s="10">
        <f t="shared" si="23"/>
        <v>1.3026596140570676</v>
      </c>
      <c r="W60" s="10">
        <f t="shared" si="23"/>
        <v>1.2948527663012281</v>
      </c>
      <c r="X60" s="10">
        <f t="shared" si="23"/>
        <v>1.2874258576987816</v>
      </c>
      <c r="Y60" s="10">
        <f t="shared" si="23"/>
        <v>1.2788785649711081</v>
      </c>
      <c r="Z60" s="10">
        <f t="shared" si="23"/>
        <v>1.2692310196568104</v>
      </c>
      <c r="AA60" s="10">
        <f t="shared" si="23"/>
        <v>1.2586661511124373</v>
      </c>
      <c r="AB60" s="10">
        <f t="shared" si="23"/>
        <v>1.247252150561232</v>
      </c>
    </row>
    <row r="61" spans="1:28" hidden="1" outlineLevel="1">
      <c r="A61" t="s">
        <v>35</v>
      </c>
      <c r="C61" s="10">
        <f>'Morizane 2018'!E104</f>
        <v>4.1266500000000006</v>
      </c>
      <c r="D61" s="10">
        <f t="shared" ref="D61:AB61" si="24">$C61/$C26*D26</f>
        <v>4.0186122597079068</v>
      </c>
      <c r="E61" s="10">
        <f t="shared" si="24"/>
        <v>3.9272839749554098</v>
      </c>
      <c r="F61" s="10">
        <f t="shared" si="24"/>
        <v>3.8477989066491842</v>
      </c>
      <c r="G61" s="10">
        <f t="shared" si="24"/>
        <v>3.7705258817802898</v>
      </c>
      <c r="H61" s="10">
        <f t="shared" si="24"/>
        <v>3.68959535529287</v>
      </c>
      <c r="I61" s="10">
        <f t="shared" si="24"/>
        <v>3.6114788045265396</v>
      </c>
      <c r="J61" s="10">
        <f t="shared" si="24"/>
        <v>3.5331227118969672</v>
      </c>
      <c r="K61" s="10">
        <f t="shared" si="24"/>
        <v>3.4571181817342809</v>
      </c>
      <c r="L61" s="10">
        <f t="shared" si="24"/>
        <v>3.3877169538766343</v>
      </c>
      <c r="M61" s="10">
        <f t="shared" si="24"/>
        <v>3.3272905953576521</v>
      </c>
      <c r="N61" s="10">
        <f t="shared" si="24"/>
        <v>3.2786464137095108</v>
      </c>
      <c r="O61" s="10">
        <f t="shared" si="24"/>
        <v>3.2387703875437448</v>
      </c>
      <c r="P61" s="10">
        <f t="shared" si="24"/>
        <v>3.2056974528815911</v>
      </c>
      <c r="Q61" s="10">
        <f t="shared" si="24"/>
        <v>3.1762763775242679</v>
      </c>
      <c r="R61" s="10">
        <f t="shared" si="24"/>
        <v>3.1482145868298845</v>
      </c>
      <c r="S61" s="10">
        <f t="shared" si="24"/>
        <v>3.1256643107405164</v>
      </c>
      <c r="T61" s="10">
        <f t="shared" si="24"/>
        <v>3.1054135339507547</v>
      </c>
      <c r="U61" s="10">
        <f t="shared" si="24"/>
        <v>3.0861696536867864</v>
      </c>
      <c r="V61" s="10">
        <f t="shared" si="24"/>
        <v>3.0665064469277414</v>
      </c>
      <c r="W61" s="10">
        <f t="shared" si="24"/>
        <v>3.0454226594615217</v>
      </c>
      <c r="X61" s="10">
        <f t="shared" si="24"/>
        <v>3.0266694040202333</v>
      </c>
      <c r="Y61" s="10">
        <f t="shared" si="24"/>
        <v>3.0064368365155794</v>
      </c>
      <c r="Z61" s="10">
        <f t="shared" si="24"/>
        <v>2.9854202438760939</v>
      </c>
      <c r="AA61" s="10">
        <f t="shared" si="24"/>
        <v>2.9651817775889406</v>
      </c>
      <c r="AB61" s="10">
        <f t="shared" si="24"/>
        <v>2.9464967428496034</v>
      </c>
    </row>
    <row r="62" spans="1:28" hidden="1" outlineLevel="1">
      <c r="A62" t="s">
        <v>36</v>
      </c>
      <c r="C62" s="10">
        <f>'Morizane 2018'!E105</f>
        <v>18.7575</v>
      </c>
      <c r="D62" s="10">
        <f t="shared" ref="D62:AB62" si="25">$C62/$C27*D27</f>
        <v>18.924114772294775</v>
      </c>
      <c r="E62" s="10">
        <f t="shared" si="25"/>
        <v>18.974595829082059</v>
      </c>
      <c r="F62" s="10">
        <f t="shared" si="25"/>
        <v>18.906907297296129</v>
      </c>
      <c r="G62" s="10">
        <f t="shared" si="25"/>
        <v>18.726712042322518</v>
      </c>
      <c r="H62" s="10">
        <f t="shared" si="25"/>
        <v>18.441602861255053</v>
      </c>
      <c r="I62" s="10">
        <f t="shared" si="25"/>
        <v>18.066309600555375</v>
      </c>
      <c r="J62" s="10">
        <f t="shared" si="25"/>
        <v>17.580937272866635</v>
      </c>
      <c r="K62" s="10">
        <f t="shared" si="25"/>
        <v>17.033248439768087</v>
      </c>
      <c r="L62" s="10">
        <f t="shared" si="25"/>
        <v>16.494165842785787</v>
      </c>
      <c r="M62" s="10">
        <f t="shared" si="25"/>
        <v>16.008857479690171</v>
      </c>
      <c r="N62" s="10">
        <f t="shared" si="25"/>
        <v>15.591724378956327</v>
      </c>
      <c r="O62" s="10">
        <f t="shared" si="25"/>
        <v>15.241165426862475</v>
      </c>
      <c r="P62" s="10">
        <f t="shared" si="25"/>
        <v>14.937067756656411</v>
      </c>
      <c r="Q62" s="10">
        <f t="shared" si="25"/>
        <v>14.640988647867211</v>
      </c>
      <c r="R62" s="10">
        <f t="shared" si="25"/>
        <v>14.329565032854264</v>
      </c>
      <c r="S62" s="10">
        <f t="shared" si="25"/>
        <v>14.029039385395786</v>
      </c>
      <c r="T62" s="10">
        <f t="shared" si="25"/>
        <v>13.728680645547502</v>
      </c>
      <c r="U62" s="10">
        <f t="shared" si="25"/>
        <v>13.43721798137808</v>
      </c>
      <c r="V62" s="10">
        <f t="shared" si="25"/>
        <v>13.170380686116808</v>
      </c>
      <c r="W62" s="10">
        <f t="shared" si="25"/>
        <v>12.937211754117392</v>
      </c>
      <c r="X62" s="10">
        <f t="shared" si="25"/>
        <v>12.750623038171115</v>
      </c>
      <c r="Y62" s="10">
        <f t="shared" si="25"/>
        <v>12.598168427680415</v>
      </c>
      <c r="Z62" s="10">
        <f t="shared" si="25"/>
        <v>12.471797378931871</v>
      </c>
      <c r="AA62" s="10">
        <f t="shared" si="25"/>
        <v>12.359366613698517</v>
      </c>
      <c r="AB62" s="10">
        <f t="shared" si="25"/>
        <v>12.252063010383218</v>
      </c>
    </row>
    <row r="63" spans="1:28" hidden="1" outlineLevel="1">
      <c r="A63" t="s">
        <v>37</v>
      </c>
      <c r="C63" s="10">
        <f>'Morizane 2018'!E106</f>
        <v>31.062419999999999</v>
      </c>
      <c r="D63" s="10">
        <f t="shared" ref="D63:AB63" si="26">$C63/$C28*D28</f>
        <v>31.123057266855295</v>
      </c>
      <c r="E63" s="10">
        <f t="shared" si="26"/>
        <v>31.321900419880375</v>
      </c>
      <c r="F63" s="10">
        <f t="shared" si="26"/>
        <v>31.659791064402633</v>
      </c>
      <c r="G63" s="10">
        <f t="shared" si="26"/>
        <v>32.143680384045993</v>
      </c>
      <c r="H63" s="10">
        <f t="shared" si="26"/>
        <v>32.763359944379324</v>
      </c>
      <c r="I63" s="10">
        <f t="shared" si="26"/>
        <v>33.513512149477876</v>
      </c>
      <c r="J63" s="10">
        <f t="shared" si="26"/>
        <v>34.385163184046434</v>
      </c>
      <c r="K63" s="10">
        <f t="shared" si="26"/>
        <v>35.275643152897274</v>
      </c>
      <c r="L63" s="10">
        <f t="shared" si="26"/>
        <v>36.035543291398753</v>
      </c>
      <c r="M63" s="10">
        <f t="shared" si="26"/>
        <v>36.563067068382132</v>
      </c>
      <c r="N63" s="10">
        <f t="shared" si="26"/>
        <v>36.883845732886734</v>
      </c>
      <c r="O63" s="10">
        <f t="shared" si="26"/>
        <v>36.986575175621219</v>
      </c>
      <c r="P63" s="10">
        <f t="shared" si="26"/>
        <v>36.864528508721101</v>
      </c>
      <c r="Q63" s="10">
        <f t="shared" si="26"/>
        <v>36.524369102667677</v>
      </c>
      <c r="R63" s="10">
        <f t="shared" si="26"/>
        <v>35.978058074684746</v>
      </c>
      <c r="S63" s="10">
        <f t="shared" si="26"/>
        <v>35.249851125481726</v>
      </c>
      <c r="T63" s="10">
        <f t="shared" si="26"/>
        <v>34.313976076825298</v>
      </c>
      <c r="U63" s="10">
        <f t="shared" si="26"/>
        <v>33.259774098022397</v>
      </c>
      <c r="V63" s="10">
        <f t="shared" si="26"/>
        <v>32.222551109716079</v>
      </c>
      <c r="W63" s="10">
        <f t="shared" si="26"/>
        <v>31.288700677649153</v>
      </c>
      <c r="X63" s="10">
        <f t="shared" si="26"/>
        <v>30.483262545229891</v>
      </c>
      <c r="Y63" s="10">
        <f t="shared" si="26"/>
        <v>29.807560652914372</v>
      </c>
      <c r="Z63" s="10">
        <f t="shared" si="26"/>
        <v>29.220826765279465</v>
      </c>
      <c r="AA63" s="10">
        <f t="shared" si="26"/>
        <v>28.649559360453704</v>
      </c>
      <c r="AB63" s="10">
        <f t="shared" si="26"/>
        <v>28.049794484671722</v>
      </c>
    </row>
    <row r="64" spans="1:28" hidden="1" outlineLevel="1">
      <c r="A64" t="s">
        <v>38</v>
      </c>
      <c r="C64" s="10">
        <f>'Morizane 2018'!E107</f>
        <v>90.861330000000009</v>
      </c>
      <c r="D64" s="10">
        <f t="shared" ref="D64:AB64" si="27">$C64/$C29*D29</f>
        <v>88.961690063770561</v>
      </c>
      <c r="E64" s="10">
        <f t="shared" si="27"/>
        <v>86.4121269254899</v>
      </c>
      <c r="F64" s="10">
        <f t="shared" si="27"/>
        <v>83.541797449240562</v>
      </c>
      <c r="G64" s="10">
        <f t="shared" si="27"/>
        <v>80.839030254851707</v>
      </c>
      <c r="H64" s="10">
        <f t="shared" si="27"/>
        <v>78.615069177873977</v>
      </c>
      <c r="I64" s="10">
        <f t="shared" si="27"/>
        <v>76.795799559237366</v>
      </c>
      <c r="J64" s="10">
        <f t="shared" si="27"/>
        <v>75.486951957593746</v>
      </c>
      <c r="K64" s="10">
        <f t="shared" si="27"/>
        <v>74.651285345499105</v>
      </c>
      <c r="L64" s="10">
        <f t="shared" si="27"/>
        <v>74.196906085176963</v>
      </c>
      <c r="M64" s="10">
        <f t="shared" si="27"/>
        <v>74.065408171181204</v>
      </c>
      <c r="N64" s="10">
        <f t="shared" si="27"/>
        <v>74.241043231421102</v>
      </c>
      <c r="O64" s="10">
        <f t="shared" si="27"/>
        <v>74.765336922947981</v>
      </c>
      <c r="P64" s="10">
        <f t="shared" si="27"/>
        <v>75.635290501517531</v>
      </c>
      <c r="Q64" s="10">
        <f t="shared" si="27"/>
        <v>76.862531548288842</v>
      </c>
      <c r="R64" s="10">
        <f t="shared" si="27"/>
        <v>78.41903372011808</v>
      </c>
      <c r="S64" s="10">
        <f t="shared" si="27"/>
        <v>80.253962344295076</v>
      </c>
      <c r="T64" s="10">
        <f t="shared" si="27"/>
        <v>82.406152151744635</v>
      </c>
      <c r="U64" s="10">
        <f t="shared" si="27"/>
        <v>84.614434363948575</v>
      </c>
      <c r="V64" s="10">
        <f t="shared" si="27"/>
        <v>86.503658132256717</v>
      </c>
      <c r="W64" s="10">
        <f t="shared" si="27"/>
        <v>87.822638907745599</v>
      </c>
      <c r="X64" s="10">
        <f t="shared" si="27"/>
        <v>88.603752205674809</v>
      </c>
      <c r="Y64" s="10">
        <f t="shared" si="27"/>
        <v>88.87499458033804</v>
      </c>
      <c r="Z64" s="10">
        <f t="shared" si="27"/>
        <v>88.616472044671156</v>
      </c>
      <c r="AA64" s="10">
        <f t="shared" si="27"/>
        <v>87.841107994812873</v>
      </c>
      <c r="AB64" s="10">
        <f t="shared" si="27"/>
        <v>86.576447187496896</v>
      </c>
    </row>
    <row r="65" spans="1:28" hidden="1" outlineLevel="1">
      <c r="A65" t="s">
        <v>39</v>
      </c>
      <c r="C65" s="10">
        <f>'Morizane 2018'!E108</f>
        <v>246.661125</v>
      </c>
      <c r="D65" s="10">
        <f t="shared" ref="D65:AB65" si="28">$C65/$C30*D30</f>
        <v>253.34604477833946</v>
      </c>
      <c r="E65" s="10">
        <f t="shared" si="28"/>
        <v>261.55571163218218</v>
      </c>
      <c r="F65" s="10">
        <f t="shared" si="28"/>
        <v>270.34084942453512</v>
      </c>
      <c r="G65" s="10">
        <f t="shared" si="28"/>
        <v>278.36948889674437</v>
      </c>
      <c r="H65" s="10">
        <f t="shared" si="28"/>
        <v>284.76543631791128</v>
      </c>
      <c r="I65" s="10">
        <f t="shared" si="28"/>
        <v>288.26160603556599</v>
      </c>
      <c r="J65" s="10">
        <f t="shared" si="28"/>
        <v>290.64858767832811</v>
      </c>
      <c r="K65" s="10">
        <f t="shared" si="28"/>
        <v>291.5786743827731</v>
      </c>
      <c r="L65" s="10">
        <f t="shared" si="28"/>
        <v>290.63565336467695</v>
      </c>
      <c r="M65" s="10">
        <f t="shared" si="28"/>
        <v>287.64150111306299</v>
      </c>
      <c r="N65" s="10">
        <f t="shared" si="28"/>
        <v>281.30732740845934</v>
      </c>
      <c r="O65" s="10">
        <f t="shared" si="28"/>
        <v>273.37465276881733</v>
      </c>
      <c r="P65" s="10">
        <f t="shared" si="28"/>
        <v>264.82924152469474</v>
      </c>
      <c r="Q65" s="10">
        <f t="shared" si="28"/>
        <v>257.11802283175962</v>
      </c>
      <c r="R65" s="10">
        <f t="shared" si="28"/>
        <v>251.09439634357449</v>
      </c>
      <c r="S65" s="10">
        <f t="shared" si="28"/>
        <v>245.51463591948229</v>
      </c>
      <c r="T65" s="10">
        <f t="shared" si="28"/>
        <v>241.74408912208094</v>
      </c>
      <c r="U65" s="10">
        <f t="shared" si="28"/>
        <v>239.55513323490359</v>
      </c>
      <c r="V65" s="10">
        <f t="shared" si="28"/>
        <v>238.70516152785501</v>
      </c>
      <c r="W65" s="10">
        <f t="shared" si="28"/>
        <v>239.06820580145583</v>
      </c>
      <c r="X65" s="10">
        <f t="shared" si="28"/>
        <v>239.71106946164008</v>
      </c>
      <c r="Y65" s="10">
        <f t="shared" si="28"/>
        <v>241.68736897615187</v>
      </c>
      <c r="Z65" s="10">
        <f t="shared" si="28"/>
        <v>244.91958681222144</v>
      </c>
      <c r="AA65" s="10">
        <f t="shared" si="28"/>
        <v>249.4608031313351</v>
      </c>
      <c r="AB65" s="10">
        <f t="shared" si="28"/>
        <v>255.23968484031036</v>
      </c>
    </row>
    <row r="66" spans="1:28" hidden="1" outlineLevel="1">
      <c r="A66" t="s">
        <v>40</v>
      </c>
      <c r="C66" s="10">
        <f>'Morizane 2018'!E109</f>
        <v>466.38647999999995</v>
      </c>
      <c r="D66" s="10">
        <f t="shared" ref="D66:AB66" si="29">$C66/$C31*D31</f>
        <v>476.48680520544428</v>
      </c>
      <c r="E66" s="10">
        <f t="shared" si="29"/>
        <v>485.95418045334901</v>
      </c>
      <c r="F66" s="10">
        <f t="shared" si="29"/>
        <v>495.51027548764483</v>
      </c>
      <c r="G66" s="10">
        <f t="shared" si="29"/>
        <v>506.69859161852719</v>
      </c>
      <c r="H66" s="10">
        <f t="shared" si="29"/>
        <v>520.04335012352112</v>
      </c>
      <c r="I66" s="10">
        <f t="shared" si="29"/>
        <v>528.51873019369668</v>
      </c>
      <c r="J66" s="10">
        <f t="shared" si="29"/>
        <v>537.00437875766738</v>
      </c>
      <c r="K66" s="10">
        <f t="shared" si="29"/>
        <v>547.27568905407963</v>
      </c>
      <c r="L66" s="10">
        <f t="shared" si="29"/>
        <v>562.41608439977324</v>
      </c>
      <c r="M66" s="10">
        <f t="shared" si="29"/>
        <v>583.81803123049212</v>
      </c>
      <c r="N66" s="10">
        <f t="shared" si="29"/>
        <v>602.5527514671702</v>
      </c>
      <c r="O66" s="10">
        <f t="shared" si="29"/>
        <v>624.88883784772054</v>
      </c>
      <c r="P66" s="10">
        <f t="shared" si="29"/>
        <v>648.58529428626662</v>
      </c>
      <c r="Q66" s="10">
        <f t="shared" si="29"/>
        <v>671.19422921623391</v>
      </c>
      <c r="R66" s="10">
        <f t="shared" si="29"/>
        <v>690.99898518348493</v>
      </c>
      <c r="S66" s="10">
        <f t="shared" si="29"/>
        <v>699.18420695756026</v>
      </c>
      <c r="T66" s="10">
        <f t="shared" si="29"/>
        <v>704.4246594195854</v>
      </c>
      <c r="U66" s="10">
        <f t="shared" si="29"/>
        <v>706.33272159806631</v>
      </c>
      <c r="V66" s="10">
        <f t="shared" si="29"/>
        <v>706.00219345207393</v>
      </c>
      <c r="W66" s="10">
        <f t="shared" si="29"/>
        <v>702.43902610511964</v>
      </c>
      <c r="X66" s="10">
        <f t="shared" si="29"/>
        <v>686.42704100608478</v>
      </c>
      <c r="Y66" s="10">
        <f t="shared" si="29"/>
        <v>667.58992921699132</v>
      </c>
      <c r="Z66" s="10">
        <f t="shared" si="29"/>
        <v>648.6038362522055</v>
      </c>
      <c r="AA66" s="10">
        <f t="shared" si="29"/>
        <v>633.62756077591382</v>
      </c>
      <c r="AB66" s="10">
        <f t="shared" si="29"/>
        <v>625.65122950418788</v>
      </c>
    </row>
    <row r="67" spans="1:28" hidden="1" outlineLevel="1">
      <c r="A67" t="s">
        <v>41</v>
      </c>
      <c r="C67" s="10">
        <f>'Morizane 2018'!E110</f>
        <v>154.33670999999998</v>
      </c>
      <c r="D67" s="10">
        <f t="shared" ref="D67:AB67" si="30">$C67/$C32*D32</f>
        <v>168.35077104321576</v>
      </c>
      <c r="E67" s="10">
        <f t="shared" si="30"/>
        <v>180.77451448176583</v>
      </c>
      <c r="F67" s="10">
        <f t="shared" si="30"/>
        <v>191.67630690370186</v>
      </c>
      <c r="G67" s="10">
        <f t="shared" si="30"/>
        <v>199.9222435040073</v>
      </c>
      <c r="H67" s="10">
        <f t="shared" si="30"/>
        <v>206.02312165901515</v>
      </c>
      <c r="I67" s="10">
        <f t="shared" si="30"/>
        <v>221.35367078556351</v>
      </c>
      <c r="J67" s="10">
        <f t="shared" si="30"/>
        <v>233.82271957263652</v>
      </c>
      <c r="K67" s="10">
        <f t="shared" si="30"/>
        <v>243.70028426573984</v>
      </c>
      <c r="L67" s="10">
        <f t="shared" si="30"/>
        <v>250.2918947028451</v>
      </c>
      <c r="M67" s="10">
        <f t="shared" si="30"/>
        <v>254.1349503987968</v>
      </c>
      <c r="N67" s="10">
        <f t="shared" si="30"/>
        <v>267.41041623112227</v>
      </c>
      <c r="O67" s="10">
        <f t="shared" si="30"/>
        <v>277.1805736550819</v>
      </c>
      <c r="P67" s="10">
        <f t="shared" si="30"/>
        <v>284.64778485602579</v>
      </c>
      <c r="Q67" s="10">
        <f t="shared" si="30"/>
        <v>289.79461771588478</v>
      </c>
      <c r="R67" s="10">
        <f t="shared" si="30"/>
        <v>293.69260274221006</v>
      </c>
      <c r="S67" s="10">
        <f t="shared" si="30"/>
        <v>307.20648910604109</v>
      </c>
      <c r="T67" s="10">
        <f t="shared" si="30"/>
        <v>317.27771373581669</v>
      </c>
      <c r="U67" s="10">
        <f t="shared" si="30"/>
        <v>326.66363822400643</v>
      </c>
      <c r="V67" s="10">
        <f t="shared" si="30"/>
        <v>335.51579488861614</v>
      </c>
      <c r="W67" s="10">
        <f t="shared" si="30"/>
        <v>346.86818940417834</v>
      </c>
      <c r="X67" s="10">
        <f t="shared" si="30"/>
        <v>370.15913340537139</v>
      </c>
      <c r="Y67" s="10">
        <f t="shared" si="30"/>
        <v>391.71149600603093</v>
      </c>
      <c r="Z67" s="10">
        <f t="shared" si="30"/>
        <v>410.82953595218623</v>
      </c>
      <c r="AA67" s="10">
        <f t="shared" si="30"/>
        <v>424.70414005085036</v>
      </c>
      <c r="AB67" s="10">
        <f t="shared" si="30"/>
        <v>431.39725625879464</v>
      </c>
    </row>
    <row r="68" spans="1:28" hidden="1" outlineLevel="1">
      <c r="A68" t="s">
        <v>42</v>
      </c>
      <c r="C68" s="10">
        <f>'Morizane 2018'!E111</f>
        <v>0</v>
      </c>
      <c r="D68" s="10">
        <f t="shared" ref="D68:AB68" si="31">$C68/$C33*D33</f>
        <v>0</v>
      </c>
      <c r="E68" s="10">
        <f t="shared" si="31"/>
        <v>0</v>
      </c>
      <c r="F68" s="10">
        <f t="shared" si="31"/>
        <v>0</v>
      </c>
      <c r="G68" s="10">
        <f t="shared" si="31"/>
        <v>0</v>
      </c>
      <c r="H68" s="10">
        <f t="shared" si="31"/>
        <v>0</v>
      </c>
      <c r="I68" s="10">
        <f t="shared" si="31"/>
        <v>0</v>
      </c>
      <c r="J68" s="10">
        <f t="shared" si="31"/>
        <v>0</v>
      </c>
      <c r="K68" s="10">
        <f t="shared" si="31"/>
        <v>0</v>
      </c>
      <c r="L68" s="10">
        <f t="shared" si="31"/>
        <v>0</v>
      </c>
      <c r="M68" s="10">
        <f t="shared" si="31"/>
        <v>0</v>
      </c>
      <c r="N68" s="10">
        <f t="shared" si="31"/>
        <v>0</v>
      </c>
      <c r="O68" s="10">
        <f t="shared" si="31"/>
        <v>0</v>
      </c>
      <c r="P68" s="10">
        <f t="shared" si="31"/>
        <v>0</v>
      </c>
      <c r="Q68" s="10">
        <f t="shared" si="31"/>
        <v>0</v>
      </c>
      <c r="R68" s="10">
        <f t="shared" si="31"/>
        <v>0</v>
      </c>
      <c r="S68" s="10">
        <f t="shared" si="31"/>
        <v>0</v>
      </c>
      <c r="T68" s="10">
        <f t="shared" si="31"/>
        <v>0</v>
      </c>
      <c r="U68" s="10">
        <f t="shared" si="31"/>
        <v>0</v>
      </c>
      <c r="V68" s="10">
        <f t="shared" si="31"/>
        <v>0</v>
      </c>
      <c r="W68" s="10">
        <f t="shared" si="31"/>
        <v>0</v>
      </c>
      <c r="X68" s="10">
        <f t="shared" si="31"/>
        <v>0</v>
      </c>
      <c r="Y68" s="10">
        <f t="shared" si="31"/>
        <v>0</v>
      </c>
      <c r="Z68" s="10">
        <f t="shared" si="31"/>
        <v>0</v>
      </c>
      <c r="AA68" s="10">
        <f t="shared" si="31"/>
        <v>0</v>
      </c>
      <c r="AB68" s="10">
        <f t="shared" si="31"/>
        <v>0</v>
      </c>
    </row>
    <row r="69" spans="1:28" collapsed="1">
      <c r="A69" t="s">
        <v>68</v>
      </c>
      <c r="C69" s="10">
        <f t="shared" ref="C69:AB69" si="32">SUM(C60:C68)</f>
        <v>1013.6928149999999</v>
      </c>
      <c r="D69" s="10">
        <f t="shared" si="32"/>
        <v>1042.6895963131371</v>
      </c>
      <c r="E69" s="10">
        <f t="shared" si="32"/>
        <v>1070.3805094859952</v>
      </c>
      <c r="F69" s="10">
        <f t="shared" si="32"/>
        <v>1096.9286335046813</v>
      </c>
      <c r="G69" s="10">
        <f t="shared" si="32"/>
        <v>1121.9015973978683</v>
      </c>
      <c r="H69" s="10">
        <f t="shared" si="32"/>
        <v>1145.7599708336047</v>
      </c>
      <c r="I69" s="10">
        <f t="shared" si="32"/>
        <v>1171.5291444087402</v>
      </c>
      <c r="J69" s="10">
        <f t="shared" si="32"/>
        <v>1193.8604833716543</v>
      </c>
      <c r="K69" s="10">
        <f t="shared" si="32"/>
        <v>1214.3616730865131</v>
      </c>
      <c r="L69" s="10">
        <f t="shared" si="32"/>
        <v>1234.8387103036075</v>
      </c>
      <c r="M69" s="10">
        <f t="shared" si="32"/>
        <v>1256.93024955796</v>
      </c>
      <c r="N69" s="10">
        <f t="shared" si="32"/>
        <v>1282.6282520434436</v>
      </c>
      <c r="O69" s="10">
        <f t="shared" si="32"/>
        <v>1307.0290926511623</v>
      </c>
      <c r="P69" s="10">
        <f t="shared" si="32"/>
        <v>1330.0484581722899</v>
      </c>
      <c r="Q69" s="10">
        <f t="shared" si="32"/>
        <v>1350.6453235633044</v>
      </c>
      <c r="R69" s="10">
        <f t="shared" si="32"/>
        <v>1368.9865117987304</v>
      </c>
      <c r="S69" s="10">
        <f t="shared" si="32"/>
        <v>1385.8832165436866</v>
      </c>
      <c r="T69" s="10">
        <f t="shared" si="32"/>
        <v>1398.3146691628267</v>
      </c>
      <c r="U69" s="10">
        <f t="shared" si="32"/>
        <v>1408.2578682903354</v>
      </c>
      <c r="V69" s="10">
        <f t="shared" si="32"/>
        <v>1416.4889058576196</v>
      </c>
      <c r="W69" s="10">
        <f t="shared" si="32"/>
        <v>1424.7642480760287</v>
      </c>
      <c r="X69" s="10">
        <f t="shared" si="32"/>
        <v>1432.4489769238912</v>
      </c>
      <c r="Y69" s="10">
        <f t="shared" si="32"/>
        <v>1436.5548332615938</v>
      </c>
      <c r="Z69" s="10">
        <f t="shared" si="32"/>
        <v>1438.9167064690287</v>
      </c>
      <c r="AA69" s="10">
        <f t="shared" si="32"/>
        <v>1440.8663858557657</v>
      </c>
      <c r="AB69" s="10">
        <f t="shared" si="32"/>
        <v>1443.3602241792555</v>
      </c>
    </row>
    <row r="70" spans="1:28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8">
      <c r="A71" s="17" t="s">
        <v>173</v>
      </c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idden="1" outlineLevel="1">
      <c r="A72" t="s">
        <v>34</v>
      </c>
      <c r="C72" s="10">
        <f>'Morizane 2018'!F103</f>
        <v>72.278899999999993</v>
      </c>
      <c r="D72" s="10">
        <f t="shared" ref="D72:AB72" si="33">$C72/$C25*D25</f>
        <v>71.214461149025638</v>
      </c>
      <c r="E72" s="10">
        <f t="shared" si="33"/>
        <v>70.332762887485728</v>
      </c>
      <c r="F72" s="10">
        <f t="shared" si="33"/>
        <v>69.596352446659552</v>
      </c>
      <c r="G72" s="10">
        <f t="shared" si="33"/>
        <v>68.942145284201828</v>
      </c>
      <c r="H72" s="10">
        <f t="shared" si="33"/>
        <v>68.321304828148484</v>
      </c>
      <c r="I72" s="10">
        <f t="shared" si="33"/>
        <v>67.820462325633244</v>
      </c>
      <c r="J72" s="10">
        <f t="shared" si="33"/>
        <v>67.366971063787346</v>
      </c>
      <c r="K72" s="10">
        <f t="shared" si="33"/>
        <v>66.938674383713291</v>
      </c>
      <c r="L72" s="10">
        <f t="shared" si="33"/>
        <v>66.505916104731469</v>
      </c>
      <c r="M72" s="10">
        <f t="shared" si="33"/>
        <v>66.04341196468998</v>
      </c>
      <c r="N72" s="10">
        <f t="shared" si="33"/>
        <v>65.626947489759502</v>
      </c>
      <c r="O72" s="10">
        <f t="shared" si="33"/>
        <v>65.178192472985273</v>
      </c>
      <c r="P72" s="10">
        <f t="shared" si="33"/>
        <v>64.714483252836786</v>
      </c>
      <c r="Q72" s="10">
        <f t="shared" si="33"/>
        <v>64.26821126158535</v>
      </c>
      <c r="R72" s="10">
        <f t="shared" si="33"/>
        <v>63.852436204576549</v>
      </c>
      <c r="S72" s="10">
        <f t="shared" si="33"/>
        <v>63.549529510891418</v>
      </c>
      <c r="T72" s="10">
        <f t="shared" si="33"/>
        <v>63.290252322103314</v>
      </c>
      <c r="U72" s="10">
        <f t="shared" si="33"/>
        <v>63.039528399563004</v>
      </c>
      <c r="V72" s="10">
        <f t="shared" si="33"/>
        <v>62.744771410415424</v>
      </c>
      <c r="W72" s="10">
        <f t="shared" si="33"/>
        <v>62.368741576842488</v>
      </c>
      <c r="X72" s="10">
        <f t="shared" si="33"/>
        <v>62.011012145824651</v>
      </c>
      <c r="Y72" s="10">
        <f t="shared" si="33"/>
        <v>61.599317546108374</v>
      </c>
      <c r="Z72" s="10">
        <f t="shared" si="33"/>
        <v>61.134627446803037</v>
      </c>
      <c r="AA72" s="10">
        <f t="shared" si="33"/>
        <v>60.625752945249062</v>
      </c>
      <c r="AB72" s="10">
        <f t="shared" si="33"/>
        <v>60.075978585366002</v>
      </c>
    </row>
    <row r="73" spans="1:28" hidden="1" outlineLevel="1">
      <c r="A73" t="s">
        <v>35</v>
      </c>
      <c r="C73" s="10">
        <f>'Morizane 2018'!F104</f>
        <v>116.29649999999999</v>
      </c>
      <c r="D73" s="10">
        <f t="shared" ref="D73:AB73" si="34">$C73/$C26*D26</f>
        <v>113.2518000463137</v>
      </c>
      <c r="E73" s="10">
        <f t="shared" si="34"/>
        <v>110.67800293056152</v>
      </c>
      <c r="F73" s="10">
        <f t="shared" si="34"/>
        <v>108.43796918738607</v>
      </c>
      <c r="G73" s="10">
        <f t="shared" si="34"/>
        <v>106.26027485017177</v>
      </c>
      <c r="H73" s="10">
        <f t="shared" si="34"/>
        <v>103.9795054673445</v>
      </c>
      <c r="I73" s="10">
        <f t="shared" si="34"/>
        <v>101.77803903665701</v>
      </c>
      <c r="J73" s="10">
        <f t="shared" si="34"/>
        <v>99.569821880732675</v>
      </c>
      <c r="K73" s="10">
        <f t="shared" si="34"/>
        <v>97.427876030693341</v>
      </c>
      <c r="L73" s="10">
        <f t="shared" si="34"/>
        <v>95.47202324561421</v>
      </c>
      <c r="M73" s="10">
        <f t="shared" si="34"/>
        <v>93.769098596442902</v>
      </c>
      <c r="N73" s="10">
        <f t="shared" si="34"/>
        <v>92.398217113631645</v>
      </c>
      <c r="O73" s="10">
        <f t="shared" si="34"/>
        <v>91.274438194414614</v>
      </c>
      <c r="P73" s="10">
        <f t="shared" si="34"/>
        <v>90.342382763026635</v>
      </c>
      <c r="Q73" s="10">
        <f t="shared" si="34"/>
        <v>89.513243366592988</v>
      </c>
      <c r="R73" s="10">
        <f t="shared" si="34"/>
        <v>88.722411083387641</v>
      </c>
      <c r="S73" s="10">
        <f t="shared" si="34"/>
        <v>88.086903302687247</v>
      </c>
      <c r="T73" s="10">
        <f t="shared" si="34"/>
        <v>87.516199593157609</v>
      </c>
      <c r="U73" s="10">
        <f t="shared" si="34"/>
        <v>86.973872058445778</v>
      </c>
      <c r="V73" s="10">
        <f t="shared" si="34"/>
        <v>86.419727140690867</v>
      </c>
      <c r="W73" s="10">
        <f t="shared" si="34"/>
        <v>85.825547675733773</v>
      </c>
      <c r="X73" s="10">
        <f t="shared" si="34"/>
        <v>85.297046840570189</v>
      </c>
      <c r="Y73" s="10">
        <f t="shared" si="34"/>
        <v>84.72685630180267</v>
      </c>
      <c r="Z73" s="10">
        <f t="shared" si="34"/>
        <v>84.13457050923536</v>
      </c>
      <c r="AA73" s="10">
        <f t="shared" si="34"/>
        <v>83.56421373205194</v>
      </c>
      <c r="AB73" s="10">
        <f t="shared" si="34"/>
        <v>83.037635480306989</v>
      </c>
    </row>
    <row r="74" spans="1:28" hidden="1" outlineLevel="1">
      <c r="A74" t="s">
        <v>36</v>
      </c>
      <c r="C74" s="10">
        <f>'Morizane 2018'!F105</f>
        <v>215.33609999999999</v>
      </c>
      <c r="D74" s="10">
        <f t="shared" ref="D74:AB74" si="35">$C74/$C27*D27</f>
        <v>217.24883758594402</v>
      </c>
      <c r="E74" s="10">
        <f t="shared" si="35"/>
        <v>217.82836011786199</v>
      </c>
      <c r="F74" s="10">
        <f t="shared" si="35"/>
        <v>217.05129577295955</v>
      </c>
      <c r="G74" s="10">
        <f t="shared" si="35"/>
        <v>214.98265424586245</v>
      </c>
      <c r="H74" s="10">
        <f t="shared" si="35"/>
        <v>211.70960084720795</v>
      </c>
      <c r="I74" s="10">
        <f t="shared" si="35"/>
        <v>207.40123421437571</v>
      </c>
      <c r="J74" s="10">
        <f t="shared" si="35"/>
        <v>201.82915989250893</v>
      </c>
      <c r="K74" s="10">
        <f t="shared" si="35"/>
        <v>195.54169208853762</v>
      </c>
      <c r="L74" s="10">
        <f t="shared" si="35"/>
        <v>189.35302387518081</v>
      </c>
      <c r="M74" s="10">
        <f t="shared" si="35"/>
        <v>183.78168386684317</v>
      </c>
      <c r="N74" s="10">
        <f t="shared" si="35"/>
        <v>178.99299587041861</v>
      </c>
      <c r="O74" s="10">
        <f t="shared" si="35"/>
        <v>174.96857910038119</v>
      </c>
      <c r="P74" s="10">
        <f t="shared" si="35"/>
        <v>171.47753784641557</v>
      </c>
      <c r="Q74" s="10">
        <f t="shared" si="35"/>
        <v>168.07854967751555</v>
      </c>
      <c r="R74" s="10">
        <f t="shared" si="35"/>
        <v>164.50340657716694</v>
      </c>
      <c r="S74" s="10">
        <f t="shared" si="35"/>
        <v>161.0533721443436</v>
      </c>
      <c r="T74" s="10">
        <f t="shared" si="35"/>
        <v>157.6052538108853</v>
      </c>
      <c r="U74" s="10">
        <f t="shared" si="35"/>
        <v>154.25926242622035</v>
      </c>
      <c r="V74" s="10">
        <f t="shared" si="35"/>
        <v>151.19597027662093</v>
      </c>
      <c r="W74" s="10">
        <f t="shared" si="35"/>
        <v>148.51919093726767</v>
      </c>
      <c r="X74" s="10">
        <f t="shared" si="35"/>
        <v>146.37715247820438</v>
      </c>
      <c r="Y74" s="10">
        <f t="shared" si="35"/>
        <v>144.62697354977115</v>
      </c>
      <c r="Z74" s="10">
        <f t="shared" si="35"/>
        <v>143.17623391013785</v>
      </c>
      <c r="AA74" s="10">
        <f t="shared" si="35"/>
        <v>141.88552872525898</v>
      </c>
      <c r="AB74" s="10">
        <f t="shared" si="35"/>
        <v>140.65368335919933</v>
      </c>
    </row>
    <row r="75" spans="1:28" hidden="1" outlineLevel="1">
      <c r="A75" t="s">
        <v>37</v>
      </c>
      <c r="C75" s="10">
        <f>'Morizane 2018'!F106</f>
        <v>280.71223999999995</v>
      </c>
      <c r="D75" s="10">
        <f t="shared" ref="D75:AB75" si="36">$C75/$C28*D28</f>
        <v>281.26022122639597</v>
      </c>
      <c r="E75" s="10">
        <f t="shared" si="36"/>
        <v>283.05717416484487</v>
      </c>
      <c r="F75" s="10">
        <f t="shared" si="36"/>
        <v>286.1107044338608</v>
      </c>
      <c r="G75" s="10">
        <f t="shared" si="36"/>
        <v>290.48363013730454</v>
      </c>
      <c r="H75" s="10">
        <f t="shared" si="36"/>
        <v>296.08369727513167</v>
      </c>
      <c r="I75" s="10">
        <f t="shared" si="36"/>
        <v>302.86285053602222</v>
      </c>
      <c r="J75" s="10">
        <f t="shared" si="36"/>
        <v>310.73999321878995</v>
      </c>
      <c r="K75" s="10">
        <f t="shared" si="36"/>
        <v>318.78729367803459</v>
      </c>
      <c r="L75" s="10">
        <f t="shared" si="36"/>
        <v>325.65453937412207</v>
      </c>
      <c r="M75" s="10">
        <f t="shared" si="36"/>
        <v>330.42179128463852</v>
      </c>
      <c r="N75" s="10">
        <f t="shared" si="36"/>
        <v>333.32067995645787</v>
      </c>
      <c r="O75" s="10">
        <f t="shared" si="36"/>
        <v>334.2490497352436</v>
      </c>
      <c r="P75" s="10">
        <f t="shared" si="36"/>
        <v>333.14610948622027</v>
      </c>
      <c r="Q75" s="10">
        <f t="shared" si="36"/>
        <v>330.07207633521898</v>
      </c>
      <c r="R75" s="10">
        <f t="shared" si="36"/>
        <v>325.13504334159546</v>
      </c>
      <c r="S75" s="10">
        <f t="shared" si="36"/>
        <v>318.55421017101997</v>
      </c>
      <c r="T75" s="10">
        <f t="shared" si="36"/>
        <v>310.09667269427302</v>
      </c>
      <c r="U75" s="10">
        <f t="shared" si="36"/>
        <v>300.56981036731344</v>
      </c>
      <c r="V75" s="10">
        <f t="shared" si="36"/>
        <v>291.19638780632306</v>
      </c>
      <c r="W75" s="10">
        <f t="shared" si="36"/>
        <v>282.7571468646812</v>
      </c>
      <c r="X75" s="10">
        <f t="shared" si="36"/>
        <v>275.47837263096642</v>
      </c>
      <c r="Y75" s="10">
        <f t="shared" si="36"/>
        <v>269.37202960411503</v>
      </c>
      <c r="Z75" s="10">
        <f t="shared" si="36"/>
        <v>264.06969373067363</v>
      </c>
      <c r="AA75" s="10">
        <f t="shared" si="36"/>
        <v>258.9071290352112</v>
      </c>
      <c r="AB75" s="10">
        <f t="shared" si="36"/>
        <v>253.48703163925555</v>
      </c>
    </row>
    <row r="76" spans="1:28" hidden="1" outlineLevel="1">
      <c r="A76" t="s">
        <v>38</v>
      </c>
      <c r="C76" s="10">
        <f>'Morizane 2018'!F107</f>
        <v>415.36608000000001</v>
      </c>
      <c r="D76" s="10">
        <f t="shared" ref="D76:AB76" si="37">$C76/$C29*D29</f>
        <v>406.68201172009401</v>
      </c>
      <c r="E76" s="10">
        <f t="shared" si="37"/>
        <v>395.02686594509669</v>
      </c>
      <c r="F76" s="10">
        <f t="shared" si="37"/>
        <v>381.90535976795684</v>
      </c>
      <c r="G76" s="10">
        <f t="shared" si="37"/>
        <v>369.5498525936078</v>
      </c>
      <c r="H76" s="10">
        <f t="shared" si="37"/>
        <v>359.38317338456676</v>
      </c>
      <c r="I76" s="10">
        <f t="shared" si="37"/>
        <v>351.06651227079942</v>
      </c>
      <c r="J76" s="10">
        <f t="shared" si="37"/>
        <v>345.08320894899998</v>
      </c>
      <c r="K76" s="10">
        <f t="shared" si="37"/>
        <v>341.26301872228163</v>
      </c>
      <c r="L76" s="10">
        <f t="shared" si="37"/>
        <v>339.18585638938038</v>
      </c>
      <c r="M76" s="10">
        <f t="shared" si="37"/>
        <v>338.58472306825695</v>
      </c>
      <c r="N76" s="10">
        <f t="shared" si="37"/>
        <v>339.38762620078222</v>
      </c>
      <c r="O76" s="10">
        <f t="shared" si="37"/>
        <v>341.78439736204791</v>
      </c>
      <c r="P76" s="10">
        <f t="shared" si="37"/>
        <v>345.76132800693728</v>
      </c>
      <c r="Q76" s="10">
        <f t="shared" si="37"/>
        <v>351.37157279217757</v>
      </c>
      <c r="R76" s="10">
        <f t="shared" si="37"/>
        <v>358.48701129196843</v>
      </c>
      <c r="S76" s="10">
        <f t="shared" si="37"/>
        <v>366.87525643106318</v>
      </c>
      <c r="T76" s="10">
        <f t="shared" si="37"/>
        <v>376.71383840797552</v>
      </c>
      <c r="U76" s="10">
        <f t="shared" si="37"/>
        <v>386.80884280662201</v>
      </c>
      <c r="V76" s="10">
        <f t="shared" si="37"/>
        <v>395.44529431888787</v>
      </c>
      <c r="W76" s="10">
        <f t="shared" si="37"/>
        <v>401.47492072112271</v>
      </c>
      <c r="X76" s="10">
        <f t="shared" si="37"/>
        <v>405.04572436879914</v>
      </c>
      <c r="Y76" s="10">
        <f t="shared" si="37"/>
        <v>406.28568951011675</v>
      </c>
      <c r="Z76" s="10">
        <f t="shared" si="37"/>
        <v>405.10387220421103</v>
      </c>
      <c r="AA76" s="10">
        <f t="shared" si="37"/>
        <v>401.5593508334303</v>
      </c>
      <c r="AB76" s="10">
        <f t="shared" si="37"/>
        <v>395.7780442857001</v>
      </c>
    </row>
    <row r="77" spans="1:28" hidden="1" outlineLevel="1">
      <c r="A77" t="s">
        <v>39</v>
      </c>
      <c r="C77" s="10">
        <f>'Morizane 2018'!F108</f>
        <v>430.83476499999995</v>
      </c>
      <c r="D77" s="10">
        <f t="shared" ref="D77:AB77" si="38">$C77/$C30*D30</f>
        <v>442.5110915461662</v>
      </c>
      <c r="E77" s="10">
        <f t="shared" si="38"/>
        <v>456.85064298421145</v>
      </c>
      <c r="F77" s="10">
        <f t="shared" si="38"/>
        <v>472.19535032818794</v>
      </c>
      <c r="G77" s="10">
        <f t="shared" si="38"/>
        <v>486.21870727298011</v>
      </c>
      <c r="H77" s="10">
        <f t="shared" si="38"/>
        <v>497.39029543528494</v>
      </c>
      <c r="I77" s="10">
        <f t="shared" si="38"/>
        <v>503.49693854212188</v>
      </c>
      <c r="J77" s="10">
        <f t="shared" si="38"/>
        <v>507.66619981147971</v>
      </c>
      <c r="K77" s="10">
        <f t="shared" si="38"/>
        <v>509.29075125524361</v>
      </c>
      <c r="L77" s="10">
        <f t="shared" si="38"/>
        <v>507.64360787696899</v>
      </c>
      <c r="M77" s="10">
        <f t="shared" si="38"/>
        <v>502.4138219441499</v>
      </c>
      <c r="N77" s="10">
        <f t="shared" si="38"/>
        <v>491.35013187344219</v>
      </c>
      <c r="O77" s="10">
        <f t="shared" si="38"/>
        <v>477.49439350286752</v>
      </c>
      <c r="P77" s="10">
        <f t="shared" si="38"/>
        <v>462.56840852980008</v>
      </c>
      <c r="Q77" s="10">
        <f t="shared" si="38"/>
        <v>449.09947987947334</v>
      </c>
      <c r="R77" s="10">
        <f t="shared" si="38"/>
        <v>438.57821228011005</v>
      </c>
      <c r="S77" s="10">
        <f t="shared" si="38"/>
        <v>428.83223073936233</v>
      </c>
      <c r="T77" s="10">
        <f t="shared" si="38"/>
        <v>422.24634233323462</v>
      </c>
      <c r="U77" s="10">
        <f t="shared" si="38"/>
        <v>418.42296605029821</v>
      </c>
      <c r="V77" s="10">
        <f t="shared" si="38"/>
        <v>416.93834880198665</v>
      </c>
      <c r="W77" s="10">
        <f t="shared" si="38"/>
        <v>417.57246613320945</v>
      </c>
      <c r="X77" s="10">
        <f t="shared" si="38"/>
        <v>418.69533465966464</v>
      </c>
      <c r="Y77" s="10">
        <f t="shared" si="38"/>
        <v>422.14727114501193</v>
      </c>
      <c r="Z77" s="10">
        <f t="shared" si="38"/>
        <v>427.79287829868008</v>
      </c>
      <c r="AA77" s="10">
        <f t="shared" si="38"/>
        <v>435.72486946939858</v>
      </c>
      <c r="AB77" s="10">
        <f t="shared" si="38"/>
        <v>445.81864952107537</v>
      </c>
    </row>
    <row r="78" spans="1:28" hidden="1" outlineLevel="1">
      <c r="A78" t="s">
        <v>40</v>
      </c>
      <c r="C78" s="10">
        <f>'Morizane 2018'!F109</f>
        <v>222.08880000000002</v>
      </c>
      <c r="D78" s="10">
        <f t="shared" ref="D78:AB78" si="39">$C78/$C31*D31</f>
        <v>226.89847866925925</v>
      </c>
      <c r="E78" s="10">
        <f t="shared" si="39"/>
        <v>231.40675259683292</v>
      </c>
      <c r="F78" s="10">
        <f t="shared" si="39"/>
        <v>235.95727404173567</v>
      </c>
      <c r="G78" s="10">
        <f t="shared" si="39"/>
        <v>241.28504362787015</v>
      </c>
      <c r="H78" s="10">
        <f t="shared" si="39"/>
        <v>247.63969053501012</v>
      </c>
      <c r="I78" s="10">
        <f t="shared" si="39"/>
        <v>251.67558580652229</v>
      </c>
      <c r="J78" s="10">
        <f t="shared" si="39"/>
        <v>255.71637083698451</v>
      </c>
      <c r="K78" s="10">
        <f t="shared" si="39"/>
        <v>260.60747097813322</v>
      </c>
      <c r="L78" s="10">
        <f t="shared" si="39"/>
        <v>267.81718304751115</v>
      </c>
      <c r="M78" s="10">
        <f t="shared" si="39"/>
        <v>278.00858630023441</v>
      </c>
      <c r="N78" s="10">
        <f t="shared" si="39"/>
        <v>286.9298816510335</v>
      </c>
      <c r="O78" s="10">
        <f t="shared" si="39"/>
        <v>297.56611326081935</v>
      </c>
      <c r="P78" s="10">
        <f t="shared" si="39"/>
        <v>308.85014013631752</v>
      </c>
      <c r="Q78" s="10">
        <f t="shared" si="39"/>
        <v>319.61629962677813</v>
      </c>
      <c r="R78" s="10">
        <f t="shared" si="39"/>
        <v>329.04713580165958</v>
      </c>
      <c r="S78" s="10">
        <f t="shared" si="39"/>
        <v>332.94486045598114</v>
      </c>
      <c r="T78" s="10">
        <f t="shared" si="39"/>
        <v>335.44031400932647</v>
      </c>
      <c r="U78" s="10">
        <f t="shared" si="39"/>
        <v>336.34891504669832</v>
      </c>
      <c r="V78" s="10">
        <f t="shared" si="39"/>
        <v>336.19152069146389</v>
      </c>
      <c r="W78" s="10">
        <f t="shared" si="39"/>
        <v>334.49477433577135</v>
      </c>
      <c r="X78" s="10">
        <f t="shared" si="39"/>
        <v>326.87001952670715</v>
      </c>
      <c r="Y78" s="10">
        <f t="shared" si="39"/>
        <v>317.89996629380545</v>
      </c>
      <c r="Z78" s="10">
        <f t="shared" si="39"/>
        <v>308.85896964390741</v>
      </c>
      <c r="AA78" s="10">
        <f t="shared" si="39"/>
        <v>301.72740989329236</v>
      </c>
      <c r="AB78" s="10">
        <f t="shared" si="39"/>
        <v>297.92915690675625</v>
      </c>
    </row>
    <row r="79" spans="1:28" hidden="1" outlineLevel="1">
      <c r="A79" t="s">
        <v>41</v>
      </c>
      <c r="C79" s="10">
        <f>'Morizane 2018'!F110</f>
        <v>14.030609999999999</v>
      </c>
      <c r="D79" s="10">
        <f t="shared" ref="D79:AB79" si="40">$C79/$C32*D32</f>
        <v>15.30461554938325</v>
      </c>
      <c r="E79" s="10">
        <f t="shared" si="40"/>
        <v>16.434046771069621</v>
      </c>
      <c r="F79" s="10">
        <f t="shared" si="40"/>
        <v>17.425118809427442</v>
      </c>
      <c r="G79" s="10">
        <f t="shared" si="40"/>
        <v>18.17474940945521</v>
      </c>
      <c r="H79" s="10">
        <f t="shared" si="40"/>
        <v>18.729374696274103</v>
      </c>
      <c r="I79" s="10">
        <f t="shared" si="40"/>
        <v>20.12306098050577</v>
      </c>
      <c r="J79" s="10">
        <f t="shared" si="40"/>
        <v>21.25661087023968</v>
      </c>
      <c r="K79" s="10">
        <f t="shared" si="40"/>
        <v>22.154571296885436</v>
      </c>
      <c r="L79" s="10">
        <f t="shared" si="40"/>
        <v>22.753808609349552</v>
      </c>
      <c r="M79" s="10">
        <f t="shared" si="40"/>
        <v>23.103177308981525</v>
      </c>
      <c r="N79" s="10">
        <f t="shared" si="40"/>
        <v>24.31003783919293</v>
      </c>
      <c r="O79" s="10">
        <f t="shared" si="40"/>
        <v>25.198233968643809</v>
      </c>
      <c r="P79" s="10">
        <f t="shared" si="40"/>
        <v>25.877071350547794</v>
      </c>
      <c r="Q79" s="10">
        <f t="shared" si="40"/>
        <v>26.344965246898614</v>
      </c>
      <c r="R79" s="10">
        <f t="shared" si="40"/>
        <v>26.699327522019093</v>
      </c>
      <c r="S79" s="10">
        <f t="shared" si="40"/>
        <v>27.927862646003732</v>
      </c>
      <c r="T79" s="10">
        <f t="shared" si="40"/>
        <v>28.843428521437875</v>
      </c>
      <c r="U79" s="10">
        <f t="shared" si="40"/>
        <v>29.696694384000583</v>
      </c>
      <c r="V79" s="10">
        <f t="shared" si="40"/>
        <v>30.501435898965102</v>
      </c>
      <c r="W79" s="10">
        <f t="shared" si="40"/>
        <v>31.533471764016209</v>
      </c>
      <c r="X79" s="10">
        <f t="shared" si="40"/>
        <v>33.650830309579213</v>
      </c>
      <c r="Y79" s="10">
        <f t="shared" si="40"/>
        <v>35.610136000548259</v>
      </c>
      <c r="Z79" s="10">
        <f t="shared" si="40"/>
        <v>37.348139632016924</v>
      </c>
      <c r="AA79" s="10">
        <f t="shared" si="40"/>
        <v>38.609467277350028</v>
      </c>
      <c r="AB79" s="10">
        <f t="shared" si="40"/>
        <v>39.217932387163145</v>
      </c>
    </row>
    <row r="80" spans="1:28" hidden="1" outlineLevel="1">
      <c r="A80" t="s">
        <v>42</v>
      </c>
      <c r="C80" s="10">
        <f>'Morizane 2018'!F111</f>
        <v>0</v>
      </c>
      <c r="D80" s="10">
        <f t="shared" ref="D80:AB80" si="41">$C80/$C33*D33</f>
        <v>0</v>
      </c>
      <c r="E80" s="10">
        <f t="shared" si="41"/>
        <v>0</v>
      </c>
      <c r="F80" s="10">
        <f t="shared" si="41"/>
        <v>0</v>
      </c>
      <c r="G80" s="10">
        <f t="shared" si="41"/>
        <v>0</v>
      </c>
      <c r="H80" s="10">
        <f t="shared" si="41"/>
        <v>0</v>
      </c>
      <c r="I80" s="10">
        <f t="shared" si="41"/>
        <v>0</v>
      </c>
      <c r="J80" s="10">
        <f t="shared" si="41"/>
        <v>0</v>
      </c>
      <c r="K80" s="10">
        <f t="shared" si="41"/>
        <v>0</v>
      </c>
      <c r="L80" s="10">
        <f t="shared" si="41"/>
        <v>0</v>
      </c>
      <c r="M80" s="10">
        <f t="shared" si="41"/>
        <v>0</v>
      </c>
      <c r="N80" s="10">
        <f t="shared" si="41"/>
        <v>0</v>
      </c>
      <c r="O80" s="10">
        <f t="shared" si="41"/>
        <v>0</v>
      </c>
      <c r="P80" s="10">
        <f t="shared" si="41"/>
        <v>0</v>
      </c>
      <c r="Q80" s="10">
        <f t="shared" si="41"/>
        <v>0</v>
      </c>
      <c r="R80" s="10">
        <f t="shared" si="41"/>
        <v>0</v>
      </c>
      <c r="S80" s="10">
        <f t="shared" si="41"/>
        <v>0</v>
      </c>
      <c r="T80" s="10">
        <f t="shared" si="41"/>
        <v>0</v>
      </c>
      <c r="U80" s="10">
        <f t="shared" si="41"/>
        <v>0</v>
      </c>
      <c r="V80" s="10">
        <f t="shared" si="41"/>
        <v>0</v>
      </c>
      <c r="W80" s="10">
        <f t="shared" si="41"/>
        <v>0</v>
      </c>
      <c r="X80" s="10">
        <f t="shared" si="41"/>
        <v>0</v>
      </c>
      <c r="Y80" s="10">
        <f t="shared" si="41"/>
        <v>0</v>
      </c>
      <c r="Z80" s="10">
        <f t="shared" si="41"/>
        <v>0</v>
      </c>
      <c r="AA80" s="10">
        <f t="shared" si="41"/>
        <v>0</v>
      </c>
      <c r="AB80" s="10">
        <f t="shared" si="41"/>
        <v>0</v>
      </c>
    </row>
    <row r="81" spans="1:28" collapsed="1">
      <c r="A81" t="s">
        <v>68</v>
      </c>
      <c r="C81" s="10">
        <f t="shared" ref="C81:AB81" si="42">SUM(C72:C80)</f>
        <v>1766.9439949999999</v>
      </c>
      <c r="D81" s="10">
        <f t="shared" si="42"/>
        <v>1774.3715174925821</v>
      </c>
      <c r="E81" s="10">
        <f t="shared" si="42"/>
        <v>1781.614608397965</v>
      </c>
      <c r="F81" s="10">
        <f t="shared" si="42"/>
        <v>1788.6794247881737</v>
      </c>
      <c r="G81" s="10">
        <f t="shared" si="42"/>
        <v>1795.8970574214538</v>
      </c>
      <c r="H81" s="10">
        <f t="shared" si="42"/>
        <v>1803.2366424689685</v>
      </c>
      <c r="I81" s="10">
        <f t="shared" si="42"/>
        <v>1806.2246837126374</v>
      </c>
      <c r="J81" s="10">
        <f t="shared" si="42"/>
        <v>1809.2283365235228</v>
      </c>
      <c r="K81" s="10">
        <f t="shared" si="42"/>
        <v>1812.0113484335227</v>
      </c>
      <c r="L81" s="10">
        <f t="shared" si="42"/>
        <v>1814.3859585228588</v>
      </c>
      <c r="M81" s="10">
        <f t="shared" si="42"/>
        <v>1816.1262943342372</v>
      </c>
      <c r="N81" s="10">
        <f t="shared" si="42"/>
        <v>1812.3165179947184</v>
      </c>
      <c r="O81" s="10">
        <f t="shared" si="42"/>
        <v>1807.7133975974032</v>
      </c>
      <c r="P81" s="10">
        <f t="shared" si="42"/>
        <v>1802.737461372102</v>
      </c>
      <c r="Q81" s="10">
        <f t="shared" si="42"/>
        <v>1798.3643981862406</v>
      </c>
      <c r="R81" s="10">
        <f t="shared" si="42"/>
        <v>1795.0249841024838</v>
      </c>
      <c r="S81" s="10">
        <f t="shared" si="42"/>
        <v>1787.8242254013526</v>
      </c>
      <c r="T81" s="10">
        <f t="shared" si="42"/>
        <v>1781.7523016923935</v>
      </c>
      <c r="U81" s="10">
        <f t="shared" si="42"/>
        <v>1776.1198915391617</v>
      </c>
      <c r="V81" s="10">
        <f t="shared" si="42"/>
        <v>1770.6334563453538</v>
      </c>
      <c r="W81" s="10">
        <f t="shared" si="42"/>
        <v>1764.5462600086448</v>
      </c>
      <c r="X81" s="10">
        <f t="shared" si="42"/>
        <v>1753.425492960316</v>
      </c>
      <c r="Y81" s="10">
        <f t="shared" si="42"/>
        <v>1742.2682399512796</v>
      </c>
      <c r="Z81" s="10">
        <f t="shared" si="42"/>
        <v>1731.6189853756653</v>
      </c>
      <c r="AA81" s="10">
        <f t="shared" si="42"/>
        <v>1722.6037219112422</v>
      </c>
      <c r="AB81" s="10">
        <f t="shared" si="42"/>
        <v>1715.9981121648227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X64"/>
  <sheetViews>
    <sheetView workbookViewId="0">
      <selection activeCell="B26" sqref="B26"/>
    </sheetView>
  </sheetViews>
  <sheetFormatPr defaultColWidth="8.7265625" defaultRowHeight="18" outlineLevelRow="1"/>
  <cols>
    <col min="1" max="1" width="33.453125" style="31" customWidth="1"/>
    <col min="2" max="4" width="10.81640625" style="31" customWidth="1"/>
    <col min="5" max="8" width="11.81640625" style="31" bestFit="1" customWidth="1"/>
    <col min="9" max="24" width="10.81640625" style="31" customWidth="1"/>
    <col min="25" max="16384" width="8.7265625" style="31"/>
  </cols>
  <sheetData>
    <row r="2" spans="1:24">
      <c r="A2" s="31" t="s">
        <v>101</v>
      </c>
      <c r="B2" s="32">
        <v>-2</v>
      </c>
      <c r="C2" s="32">
        <v>-1</v>
      </c>
      <c r="D2" s="32">
        <v>0</v>
      </c>
      <c r="E2" s="32">
        <v>1</v>
      </c>
      <c r="F2" s="32">
        <v>2</v>
      </c>
      <c r="G2" s="32">
        <v>3</v>
      </c>
      <c r="H2" s="32">
        <v>4</v>
      </c>
      <c r="I2" s="32">
        <v>5</v>
      </c>
      <c r="J2" s="32">
        <v>6</v>
      </c>
      <c r="K2" s="32">
        <v>7</v>
      </c>
      <c r="L2" s="32">
        <v>8</v>
      </c>
      <c r="M2" s="32">
        <v>9</v>
      </c>
      <c r="N2" s="32">
        <v>10</v>
      </c>
      <c r="O2" s="32">
        <v>11</v>
      </c>
      <c r="P2" s="32">
        <v>12</v>
      </c>
      <c r="Q2" s="32">
        <v>13</v>
      </c>
      <c r="R2" s="32">
        <v>14</v>
      </c>
      <c r="S2" s="32">
        <v>15</v>
      </c>
      <c r="T2" s="32">
        <v>16</v>
      </c>
      <c r="U2" s="32">
        <v>17</v>
      </c>
      <c r="V2" s="32">
        <v>18</v>
      </c>
      <c r="W2" s="32">
        <v>19</v>
      </c>
      <c r="X2" s="32">
        <v>20</v>
      </c>
    </row>
    <row r="3" spans="1:24" s="33" customFormat="1">
      <c r="A3" s="33" t="s">
        <v>126</v>
      </c>
      <c r="B3" s="48">
        <f>SUM(B4:B7)</f>
        <v>378.5</v>
      </c>
      <c r="C3" s="48">
        <f t="shared" ref="C3:S3" si="0">SUM(C4:C7)</f>
        <v>552.01</v>
      </c>
      <c r="D3" s="48">
        <f t="shared" si="0"/>
        <v>1331.4639999999999</v>
      </c>
      <c r="E3" s="48">
        <f t="shared" si="0"/>
        <v>1371.772608</v>
      </c>
      <c r="F3" s="48">
        <f t="shared" si="0"/>
        <v>1375.50806016</v>
      </c>
      <c r="G3" s="48">
        <f t="shared" si="0"/>
        <v>1379.3182213632001</v>
      </c>
      <c r="H3" s="48">
        <f t="shared" si="0"/>
        <v>1326.10895684144</v>
      </c>
      <c r="I3" s="48">
        <f t="shared" si="0"/>
        <v>1310.2416506370746</v>
      </c>
      <c r="J3" s="48">
        <f t="shared" si="0"/>
        <v>994.073208601798</v>
      </c>
      <c r="K3" s="48">
        <f t="shared" si="0"/>
        <v>977.59393222485539</v>
      </c>
      <c r="L3" s="48">
        <f t="shared" si="0"/>
        <v>627.02346431949672</v>
      </c>
      <c r="M3" s="48">
        <f t="shared" si="0"/>
        <v>629.3639336058867</v>
      </c>
      <c r="N3" s="48">
        <f t="shared" si="0"/>
        <v>475.51077024775128</v>
      </c>
      <c r="O3" s="48">
        <f t="shared" si="0"/>
        <v>476.2209856527063</v>
      </c>
      <c r="P3" s="48">
        <f t="shared" si="0"/>
        <v>476.94540536576045</v>
      </c>
      <c r="Q3" s="48">
        <f t="shared" si="0"/>
        <v>477.68431347307563</v>
      </c>
      <c r="R3" s="48">
        <f t="shared" si="0"/>
        <v>449.21899987126858</v>
      </c>
      <c r="S3" s="48">
        <f t="shared" si="0"/>
        <v>429.60337986869393</v>
      </c>
      <c r="T3" s="48">
        <f t="shared" ref="T3:X3" si="1">SUM(T4:T7)</f>
        <v>429.99544746606784</v>
      </c>
      <c r="U3" s="48">
        <f t="shared" si="1"/>
        <v>430.39535641538919</v>
      </c>
      <c r="V3" s="48">
        <f t="shared" si="1"/>
        <v>430.80326354369697</v>
      </c>
      <c r="W3" s="48">
        <f t="shared" si="1"/>
        <v>431.21932881457087</v>
      </c>
      <c r="X3" s="48">
        <f t="shared" si="1"/>
        <v>431.64371539086233</v>
      </c>
    </row>
    <row r="4" spans="1:24">
      <c r="A4" s="35" t="s">
        <v>127</v>
      </c>
      <c r="B4" s="34">
        <f>(B45+B14)/1000</f>
        <v>189</v>
      </c>
      <c r="C4" s="34">
        <f t="shared" ref="C4:S4" si="2">(C45+C14)/1000</f>
        <v>281.77999999999997</v>
      </c>
      <c r="D4" s="34">
        <f t="shared" si="2"/>
        <v>808.6511999999999</v>
      </c>
      <c r="E4" s="34">
        <f t="shared" si="2"/>
        <v>847.25355200000001</v>
      </c>
      <c r="F4" s="34">
        <f t="shared" si="2"/>
        <v>849.24862303999998</v>
      </c>
      <c r="G4" s="34">
        <f t="shared" si="2"/>
        <v>851.28359550080006</v>
      </c>
      <c r="H4" s="34">
        <f t="shared" si="2"/>
        <v>812.84066870259198</v>
      </c>
      <c r="I4" s="34">
        <f t="shared" si="2"/>
        <v>795.40799673544961</v>
      </c>
      <c r="J4" s="34">
        <f t="shared" si="2"/>
        <v>577.64288162214052</v>
      </c>
      <c r="K4" s="34">
        <f t="shared" si="2"/>
        <v>559.53499870560483</v>
      </c>
      <c r="L4" s="34">
        <f t="shared" si="2"/>
        <v>350.82569867971694</v>
      </c>
      <c r="M4" s="34">
        <f t="shared" si="2"/>
        <v>352.14221265331128</v>
      </c>
      <c r="N4" s="34">
        <f t="shared" si="2"/>
        <v>242.75538512387564</v>
      </c>
      <c r="O4" s="34">
        <f t="shared" si="2"/>
        <v>243.11049282635315</v>
      </c>
      <c r="P4" s="34">
        <f t="shared" si="2"/>
        <v>243.47270268288023</v>
      </c>
      <c r="Q4" s="34">
        <f t="shared" si="2"/>
        <v>243.84215673653782</v>
      </c>
      <c r="R4" s="34">
        <f t="shared" si="2"/>
        <v>215</v>
      </c>
      <c r="S4" s="34">
        <f t="shared" si="2"/>
        <v>205</v>
      </c>
      <c r="T4" s="34">
        <f t="shared" ref="T4:X4" si="3">(T45+T14)/1000</f>
        <v>205</v>
      </c>
      <c r="U4" s="34">
        <f t="shared" si="3"/>
        <v>205</v>
      </c>
      <c r="V4" s="34">
        <f t="shared" si="3"/>
        <v>205</v>
      </c>
      <c r="W4" s="34">
        <f t="shared" si="3"/>
        <v>205</v>
      </c>
      <c r="X4" s="34">
        <f t="shared" si="3"/>
        <v>205</v>
      </c>
    </row>
    <row r="5" spans="1:24">
      <c r="A5" s="35" t="s">
        <v>103</v>
      </c>
      <c r="B5" s="34">
        <f>(B15+B51)/1000</f>
        <v>19.5</v>
      </c>
      <c r="C5" s="34">
        <f t="shared" ref="C5:S5" si="4">(C15+C51)/1000</f>
        <v>19.64</v>
      </c>
      <c r="D5" s="34">
        <f t="shared" si="4"/>
        <v>33.106000000000002</v>
      </c>
      <c r="E5" s="34">
        <f t="shared" si="4"/>
        <v>33.418120000000002</v>
      </c>
      <c r="F5" s="34">
        <f t="shared" si="4"/>
        <v>33.7364824</v>
      </c>
      <c r="G5" s="34">
        <f t="shared" si="4"/>
        <v>34.061212048000002</v>
      </c>
      <c r="H5" s="34">
        <f t="shared" si="4"/>
        <v>34.392436288959999</v>
      </c>
      <c r="I5" s="34">
        <f t="shared" si="4"/>
        <v>34.730285014739202</v>
      </c>
      <c r="J5" s="34">
        <f t="shared" si="4"/>
        <v>35.074890715033987</v>
      </c>
      <c r="K5" s="34">
        <f t="shared" si="4"/>
        <v>35.426388529334666</v>
      </c>
      <c r="L5" s="34">
        <f t="shared" si="4"/>
        <v>10</v>
      </c>
      <c r="M5" s="34">
        <f t="shared" si="4"/>
        <v>10</v>
      </c>
      <c r="N5" s="34">
        <f t="shared" si="4"/>
        <v>10</v>
      </c>
      <c r="O5" s="34">
        <f t="shared" si="4"/>
        <v>10</v>
      </c>
      <c r="P5" s="34">
        <f t="shared" si="4"/>
        <v>10</v>
      </c>
      <c r="Q5" s="34">
        <f t="shared" si="4"/>
        <v>10</v>
      </c>
      <c r="R5" s="34">
        <f t="shared" si="4"/>
        <v>10</v>
      </c>
      <c r="S5" s="34">
        <f t="shared" si="4"/>
        <v>0</v>
      </c>
      <c r="T5" s="34">
        <f t="shared" ref="T5:X5" si="5">(T15+T51)/1000</f>
        <v>0</v>
      </c>
      <c r="U5" s="34">
        <f t="shared" si="5"/>
        <v>0</v>
      </c>
      <c r="V5" s="34">
        <f t="shared" si="5"/>
        <v>0</v>
      </c>
      <c r="W5" s="34">
        <f t="shared" si="5"/>
        <v>0</v>
      </c>
      <c r="X5" s="34">
        <f t="shared" si="5"/>
        <v>0</v>
      </c>
    </row>
    <row r="6" spans="1:24">
      <c r="A6" s="35" t="s">
        <v>104</v>
      </c>
      <c r="B6" s="34">
        <f>(B16+B56)/1000</f>
        <v>110.5</v>
      </c>
      <c r="C6" s="34">
        <f t="shared" ref="C6:S6" si="6">(C16+C56)/1000</f>
        <v>131.31</v>
      </c>
      <c r="D6" s="34">
        <f t="shared" si="6"/>
        <v>270.14120000000003</v>
      </c>
      <c r="E6" s="34">
        <f t="shared" si="6"/>
        <v>271.24402399999997</v>
      </c>
      <c r="F6" s="34">
        <f t="shared" si="6"/>
        <v>272.36890448000003</v>
      </c>
      <c r="G6" s="34">
        <f t="shared" si="6"/>
        <v>273.51628256960004</v>
      </c>
      <c r="H6" s="34">
        <f t="shared" si="6"/>
        <v>258.109577980192</v>
      </c>
      <c r="I6" s="34">
        <f t="shared" si="6"/>
        <v>259.02176953979586</v>
      </c>
      <c r="J6" s="34">
        <f t="shared" si="6"/>
        <v>159.95220493059173</v>
      </c>
      <c r="K6" s="34">
        <f t="shared" si="6"/>
        <v>160.9012490292036</v>
      </c>
      <c r="L6" s="34">
        <f t="shared" si="6"/>
        <v>44.131843759853204</v>
      </c>
      <c r="M6" s="34">
        <f t="shared" si="6"/>
        <v>44.814480635050266</v>
      </c>
      <c r="N6" s="34">
        <f t="shared" si="6"/>
        <v>0</v>
      </c>
      <c r="O6" s="34">
        <f t="shared" si="6"/>
        <v>0</v>
      </c>
      <c r="P6" s="34">
        <f t="shared" si="6"/>
        <v>0</v>
      </c>
      <c r="Q6" s="34">
        <f t="shared" si="6"/>
        <v>0</v>
      </c>
      <c r="R6" s="34">
        <f t="shared" si="6"/>
        <v>0</v>
      </c>
      <c r="S6" s="34">
        <f t="shared" si="6"/>
        <v>0</v>
      </c>
      <c r="T6" s="34">
        <f t="shared" ref="T6:X6" si="7">(T16+T56)/1000</f>
        <v>0</v>
      </c>
      <c r="U6" s="34">
        <f t="shared" si="7"/>
        <v>0</v>
      </c>
      <c r="V6" s="34">
        <f t="shared" si="7"/>
        <v>0</v>
      </c>
      <c r="W6" s="34">
        <f t="shared" si="7"/>
        <v>0</v>
      </c>
      <c r="X6" s="34">
        <f t="shared" si="7"/>
        <v>0</v>
      </c>
    </row>
    <row r="7" spans="1:24">
      <c r="A7" s="35" t="s">
        <v>105</v>
      </c>
      <c r="B7" s="34">
        <f>(B17+B61)/1000</f>
        <v>59.5</v>
      </c>
      <c r="C7" s="34">
        <f t="shared" ref="C7:S7" si="8">(C17+C61)/1000</f>
        <v>119.28</v>
      </c>
      <c r="D7" s="34">
        <f t="shared" si="8"/>
        <v>219.56560000000002</v>
      </c>
      <c r="E7" s="34">
        <f t="shared" si="8"/>
        <v>219.85691200000002</v>
      </c>
      <c r="F7" s="34">
        <f t="shared" si="8"/>
        <v>220.15405024</v>
      </c>
      <c r="G7" s="34">
        <f t="shared" si="8"/>
        <v>220.4571312448</v>
      </c>
      <c r="H7" s="34">
        <f t="shared" si="8"/>
        <v>220.76627386969602</v>
      </c>
      <c r="I7" s="34">
        <f t="shared" si="8"/>
        <v>221.08159934708991</v>
      </c>
      <c r="J7" s="34">
        <f t="shared" si="8"/>
        <v>221.40323133403174</v>
      </c>
      <c r="K7" s="34">
        <f t="shared" si="8"/>
        <v>221.73129596071237</v>
      </c>
      <c r="L7" s="34">
        <f t="shared" si="8"/>
        <v>222.06592187992661</v>
      </c>
      <c r="M7" s="34">
        <f t="shared" si="8"/>
        <v>222.40724031752515</v>
      </c>
      <c r="N7" s="34">
        <f t="shared" si="8"/>
        <v>222.75538512387564</v>
      </c>
      <c r="O7" s="34">
        <f t="shared" si="8"/>
        <v>223.11049282635315</v>
      </c>
      <c r="P7" s="34">
        <f t="shared" si="8"/>
        <v>223.47270268288023</v>
      </c>
      <c r="Q7" s="34">
        <f t="shared" si="8"/>
        <v>223.84215673653782</v>
      </c>
      <c r="R7" s="34">
        <f t="shared" si="8"/>
        <v>224.21899987126858</v>
      </c>
      <c r="S7" s="34">
        <f t="shared" si="8"/>
        <v>224.60337986869393</v>
      </c>
      <c r="T7" s="34">
        <f t="shared" ref="T7:X7" si="9">(T17+T61)/1000</f>
        <v>224.99544746606782</v>
      </c>
      <c r="U7" s="34">
        <f t="shared" si="9"/>
        <v>225.39535641538919</v>
      </c>
      <c r="V7" s="34">
        <f t="shared" si="9"/>
        <v>225.80326354369697</v>
      </c>
      <c r="W7" s="34">
        <f t="shared" si="9"/>
        <v>226.2193288145709</v>
      </c>
      <c r="X7" s="34">
        <f t="shared" si="9"/>
        <v>226.64371539086233</v>
      </c>
    </row>
    <row r="8" spans="1:24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>
      <c r="A9" s="35" t="s">
        <v>106</v>
      </c>
      <c r="B9" s="34">
        <f>B13/1000</f>
        <v>68.5</v>
      </c>
      <c r="C9" s="34">
        <f t="shared" ref="C9:S9" si="10">C13/1000</f>
        <v>77.010000000000005</v>
      </c>
      <c r="D9" s="34">
        <f t="shared" si="10"/>
        <v>166.46400000000003</v>
      </c>
      <c r="E9" s="34">
        <f t="shared" si="10"/>
        <v>186.77260800000002</v>
      </c>
      <c r="F9" s="34">
        <f t="shared" si="10"/>
        <v>190.50806016000001</v>
      </c>
      <c r="G9" s="34">
        <f>G13/1000</f>
        <v>194.3182213632</v>
      </c>
      <c r="H9" s="34">
        <f t="shared" si="10"/>
        <v>166.10895684144</v>
      </c>
      <c r="I9" s="34">
        <f t="shared" si="10"/>
        <v>160.24165063707457</v>
      </c>
      <c r="J9" s="34">
        <f t="shared" si="10"/>
        <v>154.07320860179794</v>
      </c>
      <c r="K9" s="34">
        <f t="shared" si="10"/>
        <v>147.59393222485545</v>
      </c>
      <c r="L9" s="34">
        <f t="shared" si="10"/>
        <v>117.02346431949671</v>
      </c>
      <c r="M9" s="34">
        <f t="shared" si="10"/>
        <v>119.36393360588664</v>
      </c>
      <c r="N9" s="34">
        <f t="shared" si="10"/>
        <v>35.510770247751275</v>
      </c>
      <c r="O9" s="34">
        <f t="shared" si="10"/>
        <v>36.220985652706297</v>
      </c>
      <c r="P9" s="34">
        <f t="shared" si="10"/>
        <v>36.945405365760422</v>
      </c>
      <c r="Q9" s="34">
        <f t="shared" si="10"/>
        <v>37.684313473075633</v>
      </c>
      <c r="R9" s="34">
        <f t="shared" si="10"/>
        <v>19.218999871268572</v>
      </c>
      <c r="S9" s="34">
        <f t="shared" si="10"/>
        <v>19.603379868693946</v>
      </c>
      <c r="T9" s="34">
        <f t="shared" ref="T9:X9" si="11">T13/1000</f>
        <v>19.995447466067823</v>
      </c>
      <c r="U9" s="34">
        <f t="shared" si="11"/>
        <v>20.39535641538918</v>
      </c>
      <c r="V9" s="34">
        <f t="shared" si="11"/>
        <v>20.803263543696964</v>
      </c>
      <c r="W9" s="34">
        <f t="shared" si="11"/>
        <v>21.219328814570904</v>
      </c>
      <c r="X9" s="34">
        <f t="shared" si="11"/>
        <v>21.643715390862322</v>
      </c>
    </row>
    <row r="10" spans="1:24">
      <c r="A10" s="35" t="s">
        <v>107</v>
      </c>
      <c r="B10" s="34">
        <f>B45/1000</f>
        <v>175</v>
      </c>
      <c r="C10" s="34">
        <f t="shared" ref="C10:S10" si="12">C45/1000</f>
        <v>267.5</v>
      </c>
      <c r="D10" s="34">
        <f t="shared" si="12"/>
        <v>727.5</v>
      </c>
      <c r="E10" s="34">
        <f t="shared" si="12"/>
        <v>747.5</v>
      </c>
      <c r="F10" s="34">
        <f t="shared" si="12"/>
        <v>747.5</v>
      </c>
      <c r="G10" s="34">
        <f>G45/1000</f>
        <v>747.5</v>
      </c>
      <c r="H10" s="34">
        <f t="shared" si="12"/>
        <v>725</v>
      </c>
      <c r="I10" s="34">
        <f t="shared" si="12"/>
        <v>715</v>
      </c>
      <c r="J10" s="34">
        <f t="shared" si="12"/>
        <v>505</v>
      </c>
      <c r="K10" s="34">
        <f t="shared" si="12"/>
        <v>495</v>
      </c>
      <c r="L10" s="34">
        <f t="shared" si="12"/>
        <v>285</v>
      </c>
      <c r="M10" s="34">
        <f t="shared" si="12"/>
        <v>285</v>
      </c>
      <c r="N10" s="34">
        <f t="shared" si="12"/>
        <v>225</v>
      </c>
      <c r="O10" s="34">
        <f t="shared" si="12"/>
        <v>225</v>
      </c>
      <c r="P10" s="34">
        <f t="shared" si="12"/>
        <v>225</v>
      </c>
      <c r="Q10" s="34">
        <f t="shared" si="12"/>
        <v>225</v>
      </c>
      <c r="R10" s="34">
        <f t="shared" si="12"/>
        <v>215</v>
      </c>
      <c r="S10" s="34">
        <f t="shared" si="12"/>
        <v>205</v>
      </c>
      <c r="T10" s="34">
        <f t="shared" ref="T10:X10" si="13">T45/1000</f>
        <v>205</v>
      </c>
      <c r="U10" s="34">
        <f t="shared" si="13"/>
        <v>205</v>
      </c>
      <c r="V10" s="34">
        <f t="shared" si="13"/>
        <v>205</v>
      </c>
      <c r="W10" s="34">
        <f t="shared" si="13"/>
        <v>205</v>
      </c>
      <c r="X10" s="34">
        <f t="shared" si="13"/>
        <v>205</v>
      </c>
    </row>
    <row r="11" spans="1:24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s="33" customFormat="1">
      <c r="A12" s="33" t="s">
        <v>128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s="37" customFormat="1" outlineLevel="1">
      <c r="A13" s="37" t="s">
        <v>108</v>
      </c>
      <c r="B13" s="38">
        <f>SUM(B14:B17)</f>
        <v>68500</v>
      </c>
      <c r="C13" s="38">
        <f>SUM(C14:C17)</f>
        <v>77010</v>
      </c>
      <c r="D13" s="38">
        <f t="shared" ref="D13:S13" si="14">SUM(D14:D17)</f>
        <v>166464.00000000003</v>
      </c>
      <c r="E13" s="38">
        <f t="shared" si="14"/>
        <v>186772.60800000001</v>
      </c>
      <c r="F13" s="38">
        <f t="shared" si="14"/>
        <v>190508.06016000002</v>
      </c>
      <c r="G13" s="38">
        <f>SUM(G14:G17)</f>
        <v>194318.22136319999</v>
      </c>
      <c r="H13" s="38">
        <f t="shared" si="14"/>
        <v>166108.95684144</v>
      </c>
      <c r="I13" s="38">
        <f t="shared" si="14"/>
        <v>160241.65063707458</v>
      </c>
      <c r="J13" s="38">
        <f t="shared" si="14"/>
        <v>154073.20860179793</v>
      </c>
      <c r="K13" s="38">
        <f t="shared" si="14"/>
        <v>147593.93222485544</v>
      </c>
      <c r="L13" s="38">
        <f t="shared" si="14"/>
        <v>117023.46431949671</v>
      </c>
      <c r="M13" s="38">
        <f t="shared" si="14"/>
        <v>119363.93360588665</v>
      </c>
      <c r="N13" s="38">
        <f t="shared" si="14"/>
        <v>35510.770247751272</v>
      </c>
      <c r="O13" s="38">
        <f t="shared" si="14"/>
        <v>36220.985652706295</v>
      </c>
      <c r="P13" s="38">
        <f t="shared" si="14"/>
        <v>36945.405365760424</v>
      </c>
      <c r="Q13" s="38">
        <f t="shared" si="14"/>
        <v>37684.313473075636</v>
      </c>
      <c r="R13" s="38">
        <f t="shared" si="14"/>
        <v>19218.999871268574</v>
      </c>
      <c r="S13" s="38">
        <f t="shared" si="14"/>
        <v>19603.379868693944</v>
      </c>
      <c r="T13" s="38">
        <f t="shared" ref="T13:X13" si="15">SUM(T14:T17)</f>
        <v>19995.447466067824</v>
      </c>
      <c r="U13" s="38">
        <f t="shared" si="15"/>
        <v>20395.356415389182</v>
      </c>
      <c r="V13" s="38">
        <f t="shared" si="15"/>
        <v>20803.263543696965</v>
      </c>
      <c r="W13" s="38">
        <f t="shared" si="15"/>
        <v>21219.328814570905</v>
      </c>
      <c r="X13" s="38">
        <f t="shared" si="15"/>
        <v>21643.715390862322</v>
      </c>
    </row>
    <row r="14" spans="1:24" s="37" customFormat="1" outlineLevel="1">
      <c r="A14" s="39" t="s">
        <v>102</v>
      </c>
      <c r="B14" s="38">
        <f>SUMPRODUCT(B21:B23,B$38:B$40)</f>
        <v>14000</v>
      </c>
      <c r="C14" s="38">
        <f>SUMPRODUCT(C21:C23,C$38:C$40)</f>
        <v>14280</v>
      </c>
      <c r="D14" s="38">
        <f t="shared" ref="D14:S14" si="16">SUMPRODUCT(D21:D23,D$38:D$40)</f>
        <v>81151.200000000012</v>
      </c>
      <c r="E14" s="38">
        <f t="shared" si="16"/>
        <v>99753.552000000011</v>
      </c>
      <c r="F14" s="38">
        <f t="shared" si="16"/>
        <v>101748.62304000001</v>
      </c>
      <c r="G14" s="38">
        <f t="shared" si="16"/>
        <v>103783.5955008</v>
      </c>
      <c r="H14" s="38">
        <f t="shared" si="16"/>
        <v>87840.668702591996</v>
      </c>
      <c r="I14" s="38">
        <f t="shared" si="16"/>
        <v>80407.996735449604</v>
      </c>
      <c r="J14" s="38">
        <f t="shared" si="16"/>
        <v>72642.88162214047</v>
      </c>
      <c r="K14" s="38">
        <f t="shared" si="16"/>
        <v>64534.998705604798</v>
      </c>
      <c r="L14" s="38">
        <f t="shared" si="16"/>
        <v>65825.698679716908</v>
      </c>
      <c r="M14" s="38">
        <f t="shared" si="16"/>
        <v>67142.212653311246</v>
      </c>
      <c r="N14" s="38">
        <f t="shared" si="16"/>
        <v>17755.385123875636</v>
      </c>
      <c r="O14" s="38">
        <f t="shared" si="16"/>
        <v>18110.492826353147</v>
      </c>
      <c r="P14" s="38">
        <f t="shared" si="16"/>
        <v>18472.702682880212</v>
      </c>
      <c r="Q14" s="38">
        <f t="shared" si="16"/>
        <v>18842.156736537818</v>
      </c>
      <c r="R14" s="38">
        <f t="shared" si="16"/>
        <v>0</v>
      </c>
      <c r="S14" s="38">
        <f t="shared" si="16"/>
        <v>0</v>
      </c>
      <c r="T14" s="38">
        <f t="shared" ref="T14:X14" si="17">SUMPRODUCT(T21:T23,T$38:T$40)</f>
        <v>0</v>
      </c>
      <c r="U14" s="38">
        <f t="shared" si="17"/>
        <v>0</v>
      </c>
      <c r="V14" s="38">
        <f t="shared" si="17"/>
        <v>0</v>
      </c>
      <c r="W14" s="38">
        <f t="shared" si="17"/>
        <v>0</v>
      </c>
      <c r="X14" s="38">
        <f t="shared" si="17"/>
        <v>0</v>
      </c>
    </row>
    <row r="15" spans="1:24" s="37" customFormat="1" outlineLevel="1">
      <c r="A15" s="39" t="s">
        <v>109</v>
      </c>
      <c r="B15" s="38">
        <f>SUMPRODUCT(B25:B27,B$38:B$40)</f>
        <v>7000</v>
      </c>
      <c r="C15" s="38">
        <f>SUMPRODUCT(C25:C27,C$38:C$40)</f>
        <v>7140</v>
      </c>
      <c r="D15" s="38">
        <f t="shared" ref="D15:S15" si="18">SUMPRODUCT(D25:D27,D$38:D$40)</f>
        <v>15606</v>
      </c>
      <c r="E15" s="38">
        <f t="shared" si="18"/>
        <v>15918.12</v>
      </c>
      <c r="F15" s="38">
        <f t="shared" si="18"/>
        <v>16236.482400000001</v>
      </c>
      <c r="G15" s="38">
        <f t="shared" si="18"/>
        <v>16561.212048000001</v>
      </c>
      <c r="H15" s="38">
        <f t="shared" si="18"/>
        <v>16892.436288960002</v>
      </c>
      <c r="I15" s="38">
        <f t="shared" si="18"/>
        <v>17230.285014739202</v>
      </c>
      <c r="J15" s="38">
        <f t="shared" si="18"/>
        <v>17574.890715033987</v>
      </c>
      <c r="K15" s="38">
        <f t="shared" si="18"/>
        <v>17926.388529334668</v>
      </c>
      <c r="L15" s="38">
        <f t="shared" si="18"/>
        <v>0</v>
      </c>
      <c r="M15" s="38">
        <f t="shared" si="18"/>
        <v>0</v>
      </c>
      <c r="N15" s="38">
        <f t="shared" si="18"/>
        <v>0</v>
      </c>
      <c r="O15" s="38">
        <f t="shared" si="18"/>
        <v>0</v>
      </c>
      <c r="P15" s="38">
        <f t="shared" si="18"/>
        <v>0</v>
      </c>
      <c r="Q15" s="38">
        <f t="shared" si="18"/>
        <v>0</v>
      </c>
      <c r="R15" s="38">
        <f t="shared" si="18"/>
        <v>0</v>
      </c>
      <c r="S15" s="38">
        <f t="shared" si="18"/>
        <v>0</v>
      </c>
      <c r="T15" s="38">
        <f t="shared" ref="T15:X15" si="19">SUMPRODUCT(T25:T27,T$38:T$40)</f>
        <v>0</v>
      </c>
      <c r="U15" s="38">
        <f t="shared" si="19"/>
        <v>0</v>
      </c>
      <c r="V15" s="38">
        <f t="shared" si="19"/>
        <v>0</v>
      </c>
      <c r="W15" s="38">
        <f t="shared" si="19"/>
        <v>0</v>
      </c>
      <c r="X15" s="38">
        <f t="shared" si="19"/>
        <v>0</v>
      </c>
    </row>
    <row r="16" spans="1:24" s="37" customFormat="1" outlineLevel="1">
      <c r="A16" s="39" t="s">
        <v>110</v>
      </c>
      <c r="B16" s="38">
        <f>SUMPRODUCT(B29:B31,B$38:B$40)</f>
        <v>40500</v>
      </c>
      <c r="C16" s="38">
        <f>SUMPRODUCT(C29:C31,C$38:C$40)</f>
        <v>41310</v>
      </c>
      <c r="D16" s="38">
        <f t="shared" ref="D16:S16" si="20">SUMPRODUCT(D29:D31,D$38:D$40)</f>
        <v>55141.2</v>
      </c>
      <c r="E16" s="38">
        <f t="shared" si="20"/>
        <v>56244.024000000005</v>
      </c>
      <c r="F16" s="38">
        <f t="shared" si="20"/>
        <v>57368.904479999997</v>
      </c>
      <c r="G16" s="38">
        <f t="shared" si="20"/>
        <v>58516.282569600007</v>
      </c>
      <c r="H16" s="38">
        <f t="shared" si="20"/>
        <v>45609.577980192</v>
      </c>
      <c r="I16" s="38">
        <f t="shared" si="20"/>
        <v>46521.769539795845</v>
      </c>
      <c r="J16" s="38">
        <f t="shared" si="20"/>
        <v>47452.204930591761</v>
      </c>
      <c r="K16" s="38">
        <f t="shared" si="20"/>
        <v>48401.249029203602</v>
      </c>
      <c r="L16" s="38">
        <f t="shared" si="20"/>
        <v>34131.843759853204</v>
      </c>
      <c r="M16" s="38">
        <f t="shared" si="20"/>
        <v>34814.480635050269</v>
      </c>
      <c r="N16" s="38">
        <f t="shared" si="20"/>
        <v>0</v>
      </c>
      <c r="O16" s="38">
        <f t="shared" si="20"/>
        <v>0</v>
      </c>
      <c r="P16" s="38">
        <f t="shared" si="20"/>
        <v>0</v>
      </c>
      <c r="Q16" s="38">
        <f t="shared" si="20"/>
        <v>0</v>
      </c>
      <c r="R16" s="38">
        <f t="shared" si="20"/>
        <v>0</v>
      </c>
      <c r="S16" s="38">
        <f t="shared" si="20"/>
        <v>0</v>
      </c>
      <c r="T16" s="38">
        <f t="shared" ref="T16:X16" si="21">SUMPRODUCT(T29:T31,T$38:T$40)</f>
        <v>0</v>
      </c>
      <c r="U16" s="38">
        <f t="shared" si="21"/>
        <v>0</v>
      </c>
      <c r="V16" s="38">
        <f t="shared" si="21"/>
        <v>0</v>
      </c>
      <c r="W16" s="38">
        <f t="shared" si="21"/>
        <v>0</v>
      </c>
      <c r="X16" s="38">
        <f t="shared" si="21"/>
        <v>0</v>
      </c>
    </row>
    <row r="17" spans="1:24" s="37" customFormat="1" outlineLevel="1">
      <c r="A17" s="39" t="s">
        <v>105</v>
      </c>
      <c r="B17" s="38">
        <f>SUMPRODUCT(B33:B35,B$38:B$40)</f>
        <v>7000</v>
      </c>
      <c r="C17" s="38">
        <f>SUMPRODUCT(C33:C35,C$38:C$40)</f>
        <v>14280</v>
      </c>
      <c r="D17" s="38">
        <f t="shared" ref="D17:S17" si="22">SUMPRODUCT(D33:D35,D$38:D$40)</f>
        <v>14565.6</v>
      </c>
      <c r="E17" s="38">
        <f t="shared" si="22"/>
        <v>14856.912</v>
      </c>
      <c r="F17" s="38">
        <f t="shared" si="22"/>
        <v>15154.05024</v>
      </c>
      <c r="G17" s="38">
        <f t="shared" si="22"/>
        <v>15457.131244800001</v>
      </c>
      <c r="H17" s="38">
        <f t="shared" si="22"/>
        <v>15766.273869696</v>
      </c>
      <c r="I17" s="38">
        <f t="shared" si="22"/>
        <v>16081.599347089921</v>
      </c>
      <c r="J17" s="38">
        <f t="shared" si="22"/>
        <v>16403.23133403172</v>
      </c>
      <c r="K17" s="38">
        <f t="shared" si="22"/>
        <v>16731.295960712356</v>
      </c>
      <c r="L17" s="38">
        <f t="shared" si="22"/>
        <v>17065.921879926602</v>
      </c>
      <c r="M17" s="38">
        <f t="shared" si="22"/>
        <v>17407.240317525135</v>
      </c>
      <c r="N17" s="38">
        <f t="shared" si="22"/>
        <v>17755.385123875636</v>
      </c>
      <c r="O17" s="38">
        <f t="shared" si="22"/>
        <v>18110.492826353147</v>
      </c>
      <c r="P17" s="38">
        <f t="shared" si="22"/>
        <v>18472.702682880212</v>
      </c>
      <c r="Q17" s="38">
        <f t="shared" si="22"/>
        <v>18842.156736537818</v>
      </c>
      <c r="R17" s="38">
        <f t="shared" si="22"/>
        <v>19218.999871268574</v>
      </c>
      <c r="S17" s="38">
        <f t="shared" si="22"/>
        <v>19603.379868693944</v>
      </c>
      <c r="T17" s="38">
        <f t="shared" ref="T17:X17" si="23">SUMPRODUCT(T33:T35,T$38:T$40)</f>
        <v>19995.447466067824</v>
      </c>
      <c r="U17" s="38">
        <f t="shared" si="23"/>
        <v>20395.356415389182</v>
      </c>
      <c r="V17" s="38">
        <f t="shared" si="23"/>
        <v>20803.263543696965</v>
      </c>
      <c r="W17" s="38">
        <f t="shared" si="23"/>
        <v>21219.328814570905</v>
      </c>
      <c r="X17" s="38">
        <f t="shared" si="23"/>
        <v>21643.715390862322</v>
      </c>
    </row>
    <row r="18" spans="1:24" outlineLevel="1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s="37" customFormat="1" outlineLevel="1">
      <c r="A19" s="37" t="s">
        <v>111</v>
      </c>
      <c r="B19" s="38">
        <f>B20+B24+B28+B32</f>
        <v>4.5</v>
      </c>
      <c r="C19" s="38">
        <f>C20+C24+C28+C32</f>
        <v>5</v>
      </c>
      <c r="D19" s="38">
        <f t="shared" ref="D19:S19" si="24">D20+D24+D28+D32</f>
        <v>14.5</v>
      </c>
      <c r="E19" s="38">
        <f t="shared" si="24"/>
        <v>16.5</v>
      </c>
      <c r="F19" s="38">
        <f t="shared" si="24"/>
        <v>16.5</v>
      </c>
      <c r="G19" s="38">
        <f t="shared" si="24"/>
        <v>16.5</v>
      </c>
      <c r="H19" s="38">
        <f t="shared" si="24"/>
        <v>14</v>
      </c>
      <c r="I19" s="38">
        <f t="shared" si="24"/>
        <v>13</v>
      </c>
      <c r="J19" s="38">
        <f t="shared" si="24"/>
        <v>12</v>
      </c>
      <c r="K19" s="38">
        <f t="shared" si="24"/>
        <v>11</v>
      </c>
      <c r="L19" s="38">
        <f t="shared" si="24"/>
        <v>9</v>
      </c>
      <c r="M19" s="38">
        <f t="shared" si="24"/>
        <v>9</v>
      </c>
      <c r="N19" s="38">
        <f t="shared" si="24"/>
        <v>2</v>
      </c>
      <c r="O19" s="38">
        <f t="shared" si="24"/>
        <v>2</v>
      </c>
      <c r="P19" s="38">
        <f t="shared" si="24"/>
        <v>2</v>
      </c>
      <c r="Q19" s="38">
        <f t="shared" si="24"/>
        <v>2</v>
      </c>
      <c r="R19" s="38">
        <f t="shared" si="24"/>
        <v>1</v>
      </c>
      <c r="S19" s="38">
        <f t="shared" si="24"/>
        <v>1</v>
      </c>
      <c r="T19" s="38">
        <f t="shared" ref="T19:X19" si="25">T20+T24+T28+T32</f>
        <v>1</v>
      </c>
      <c r="U19" s="38">
        <f t="shared" si="25"/>
        <v>1</v>
      </c>
      <c r="V19" s="38">
        <f t="shared" si="25"/>
        <v>1</v>
      </c>
      <c r="W19" s="38">
        <f t="shared" si="25"/>
        <v>1</v>
      </c>
      <c r="X19" s="38">
        <f t="shared" si="25"/>
        <v>1</v>
      </c>
    </row>
    <row r="20" spans="1:24" s="37" customFormat="1" outlineLevel="1">
      <c r="A20" s="39" t="s">
        <v>102</v>
      </c>
      <c r="B20" s="38">
        <f>SUM(B21:B23)</f>
        <v>1</v>
      </c>
      <c r="C20" s="38">
        <f>SUM(C21:C23)</f>
        <v>1</v>
      </c>
      <c r="D20" s="38">
        <f t="shared" ref="D20:S20" si="26">SUM(D21:D23)</f>
        <v>9</v>
      </c>
      <c r="E20" s="38">
        <f t="shared" si="26"/>
        <v>11</v>
      </c>
      <c r="F20" s="38">
        <f t="shared" si="26"/>
        <v>11</v>
      </c>
      <c r="G20" s="38">
        <f t="shared" si="26"/>
        <v>11</v>
      </c>
      <c r="H20" s="38">
        <f t="shared" si="26"/>
        <v>9</v>
      </c>
      <c r="I20" s="38">
        <f t="shared" si="26"/>
        <v>8</v>
      </c>
      <c r="J20" s="38">
        <f t="shared" si="26"/>
        <v>7</v>
      </c>
      <c r="K20" s="38">
        <f t="shared" si="26"/>
        <v>6</v>
      </c>
      <c r="L20" s="38">
        <f t="shared" si="26"/>
        <v>6</v>
      </c>
      <c r="M20" s="38">
        <f t="shared" si="26"/>
        <v>6</v>
      </c>
      <c r="N20" s="38">
        <f t="shared" si="26"/>
        <v>1</v>
      </c>
      <c r="O20" s="38">
        <f t="shared" si="26"/>
        <v>1</v>
      </c>
      <c r="P20" s="38">
        <f t="shared" si="26"/>
        <v>1</v>
      </c>
      <c r="Q20" s="38">
        <f t="shared" si="26"/>
        <v>1</v>
      </c>
      <c r="R20" s="38">
        <f t="shared" si="26"/>
        <v>0</v>
      </c>
      <c r="S20" s="38">
        <f t="shared" si="26"/>
        <v>0</v>
      </c>
      <c r="T20" s="38">
        <f t="shared" ref="T20:X20" si="27">SUM(T21:T23)</f>
        <v>0</v>
      </c>
      <c r="U20" s="38">
        <f t="shared" si="27"/>
        <v>0</v>
      </c>
      <c r="V20" s="38">
        <f t="shared" si="27"/>
        <v>0</v>
      </c>
      <c r="W20" s="38">
        <f t="shared" si="27"/>
        <v>0</v>
      </c>
      <c r="X20" s="38">
        <f t="shared" si="27"/>
        <v>0</v>
      </c>
    </row>
    <row r="21" spans="1:24" s="42" customFormat="1" outlineLevel="1">
      <c r="A21" s="40" t="s">
        <v>112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</row>
    <row r="22" spans="1:24" s="42" customFormat="1" outlineLevel="1">
      <c r="A22" s="40" t="s">
        <v>113</v>
      </c>
      <c r="B22" s="41">
        <v>1</v>
      </c>
      <c r="C22" s="41">
        <v>1</v>
      </c>
      <c r="D22" s="41">
        <v>1</v>
      </c>
      <c r="E22" s="41">
        <v>1</v>
      </c>
      <c r="F22" s="41">
        <v>1</v>
      </c>
      <c r="G22" s="41">
        <v>1</v>
      </c>
      <c r="H22" s="41">
        <v>1</v>
      </c>
      <c r="I22" s="41">
        <v>1</v>
      </c>
      <c r="J22" s="41">
        <v>1</v>
      </c>
      <c r="K22" s="41">
        <v>1</v>
      </c>
      <c r="L22" s="41">
        <v>1</v>
      </c>
      <c r="M22" s="41">
        <v>1</v>
      </c>
      <c r="N22" s="41">
        <v>1</v>
      </c>
      <c r="O22" s="41">
        <v>1</v>
      </c>
      <c r="P22" s="41">
        <v>1</v>
      </c>
      <c r="Q22" s="41">
        <v>1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</row>
    <row r="23" spans="1:24" s="42" customFormat="1" outlineLevel="1">
      <c r="A23" s="40" t="s">
        <v>114</v>
      </c>
      <c r="B23" s="41">
        <v>0</v>
      </c>
      <c r="C23" s="41">
        <v>0</v>
      </c>
      <c r="D23" s="41">
        <v>8</v>
      </c>
      <c r="E23" s="41">
        <v>10</v>
      </c>
      <c r="F23" s="41">
        <v>10</v>
      </c>
      <c r="G23" s="41">
        <v>10</v>
      </c>
      <c r="H23" s="41">
        <v>8</v>
      </c>
      <c r="I23" s="41">
        <v>7</v>
      </c>
      <c r="J23" s="41">
        <v>6</v>
      </c>
      <c r="K23" s="41">
        <v>5</v>
      </c>
      <c r="L23" s="41">
        <v>5</v>
      </c>
      <c r="M23" s="41">
        <v>5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</row>
    <row r="24" spans="1:24" s="37" customFormat="1" outlineLevel="1">
      <c r="A24" s="39" t="s">
        <v>109</v>
      </c>
      <c r="B24" s="38">
        <f>SUM(B25:B27)</f>
        <v>0.5</v>
      </c>
      <c r="C24" s="38">
        <f>SUM(C25:C27)</f>
        <v>0.5</v>
      </c>
      <c r="D24" s="38">
        <f t="shared" ref="D24:S24" si="28">SUM(D25:D27)</f>
        <v>1.5</v>
      </c>
      <c r="E24" s="38">
        <f t="shared" si="28"/>
        <v>1.5</v>
      </c>
      <c r="F24" s="38">
        <f t="shared" si="28"/>
        <v>1.5</v>
      </c>
      <c r="G24" s="38">
        <f t="shared" si="28"/>
        <v>1.5</v>
      </c>
      <c r="H24" s="38">
        <f t="shared" si="28"/>
        <v>1.5</v>
      </c>
      <c r="I24" s="38">
        <f t="shared" si="28"/>
        <v>1.5</v>
      </c>
      <c r="J24" s="38">
        <f t="shared" si="28"/>
        <v>1.5</v>
      </c>
      <c r="K24" s="38">
        <f t="shared" si="28"/>
        <v>1.5</v>
      </c>
      <c r="L24" s="38">
        <f t="shared" si="28"/>
        <v>0</v>
      </c>
      <c r="M24" s="38">
        <f t="shared" si="28"/>
        <v>0</v>
      </c>
      <c r="N24" s="38">
        <f t="shared" si="28"/>
        <v>0</v>
      </c>
      <c r="O24" s="38">
        <f t="shared" si="28"/>
        <v>0</v>
      </c>
      <c r="P24" s="38">
        <f t="shared" si="28"/>
        <v>0</v>
      </c>
      <c r="Q24" s="38">
        <f t="shared" si="28"/>
        <v>0</v>
      </c>
      <c r="R24" s="38">
        <f t="shared" si="28"/>
        <v>0</v>
      </c>
      <c r="S24" s="38">
        <f t="shared" si="28"/>
        <v>0</v>
      </c>
      <c r="T24" s="38">
        <f t="shared" ref="T24:X24" si="29">SUM(T25:T27)</f>
        <v>0</v>
      </c>
      <c r="U24" s="38">
        <f t="shared" si="29"/>
        <v>0</v>
      </c>
      <c r="V24" s="38">
        <f t="shared" si="29"/>
        <v>0</v>
      </c>
      <c r="W24" s="38">
        <f t="shared" si="29"/>
        <v>0</v>
      </c>
      <c r="X24" s="38">
        <f t="shared" si="29"/>
        <v>0</v>
      </c>
    </row>
    <row r="25" spans="1:24" s="42" customFormat="1" outlineLevel="1">
      <c r="A25" s="40" t="s">
        <v>112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</row>
    <row r="26" spans="1:24" s="42" customFormat="1" outlineLevel="1">
      <c r="A26" s="40" t="s">
        <v>113</v>
      </c>
      <c r="B26" s="41">
        <v>0.5</v>
      </c>
      <c r="C26" s="41">
        <v>0.5</v>
      </c>
      <c r="D26" s="41">
        <v>0.5</v>
      </c>
      <c r="E26" s="41">
        <v>0.5</v>
      </c>
      <c r="F26" s="41">
        <v>0.5</v>
      </c>
      <c r="G26" s="41">
        <v>0.5</v>
      </c>
      <c r="H26" s="41">
        <v>0.5</v>
      </c>
      <c r="I26" s="41">
        <v>0.5</v>
      </c>
      <c r="J26" s="41">
        <v>0.5</v>
      </c>
      <c r="K26" s="41">
        <v>0.5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</row>
    <row r="27" spans="1:24" s="42" customFormat="1" outlineLevel="1">
      <c r="A27" s="40" t="s">
        <v>114</v>
      </c>
      <c r="B27" s="41">
        <v>0</v>
      </c>
      <c r="C27" s="41">
        <v>0</v>
      </c>
      <c r="D27" s="41">
        <v>1</v>
      </c>
      <c r="E27" s="41">
        <v>1</v>
      </c>
      <c r="F27" s="41">
        <v>1</v>
      </c>
      <c r="G27" s="41">
        <v>1</v>
      </c>
      <c r="H27" s="41">
        <v>1</v>
      </c>
      <c r="I27" s="41">
        <v>1</v>
      </c>
      <c r="J27" s="41">
        <v>1</v>
      </c>
      <c r="K27" s="41">
        <v>1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</row>
    <row r="28" spans="1:24" s="37" customFormat="1" outlineLevel="1">
      <c r="A28" s="39" t="s">
        <v>110</v>
      </c>
      <c r="B28" s="38">
        <f>SUM(B29:B31)</f>
        <v>2.5</v>
      </c>
      <c r="C28" s="38">
        <f>SUM(C29:C31)</f>
        <v>2.5</v>
      </c>
      <c r="D28" s="38">
        <f t="shared" ref="D28:S28" si="30">SUM(D29:D31)</f>
        <v>3</v>
      </c>
      <c r="E28" s="38">
        <f t="shared" si="30"/>
        <v>3</v>
      </c>
      <c r="F28" s="38">
        <f t="shared" si="30"/>
        <v>3</v>
      </c>
      <c r="G28" s="38">
        <f t="shared" si="30"/>
        <v>3</v>
      </c>
      <c r="H28" s="38">
        <f t="shared" si="30"/>
        <v>2.5</v>
      </c>
      <c r="I28" s="38">
        <f t="shared" si="30"/>
        <v>2.5</v>
      </c>
      <c r="J28" s="38">
        <f t="shared" si="30"/>
        <v>2.5</v>
      </c>
      <c r="K28" s="38">
        <f t="shared" si="30"/>
        <v>2.5</v>
      </c>
      <c r="L28" s="38">
        <f t="shared" si="30"/>
        <v>2</v>
      </c>
      <c r="M28" s="38">
        <f t="shared" si="30"/>
        <v>2</v>
      </c>
      <c r="N28" s="38">
        <f t="shared" si="30"/>
        <v>0</v>
      </c>
      <c r="O28" s="38">
        <f t="shared" si="30"/>
        <v>0</v>
      </c>
      <c r="P28" s="38">
        <f t="shared" si="30"/>
        <v>0</v>
      </c>
      <c r="Q28" s="38">
        <f t="shared" si="30"/>
        <v>0</v>
      </c>
      <c r="R28" s="38">
        <f t="shared" si="30"/>
        <v>0</v>
      </c>
      <c r="S28" s="38">
        <f t="shared" si="30"/>
        <v>0</v>
      </c>
      <c r="T28" s="38">
        <f t="shared" ref="T28:X28" si="31">SUM(T29:T31)</f>
        <v>0</v>
      </c>
      <c r="U28" s="38">
        <f t="shared" si="31"/>
        <v>0</v>
      </c>
      <c r="V28" s="38">
        <f t="shared" si="31"/>
        <v>0</v>
      </c>
      <c r="W28" s="38">
        <f t="shared" si="31"/>
        <v>0</v>
      </c>
      <c r="X28" s="38">
        <f t="shared" si="31"/>
        <v>0</v>
      </c>
    </row>
    <row r="29" spans="1:24" s="42" customFormat="1" outlineLevel="1">
      <c r="A29" s="40" t="s">
        <v>112</v>
      </c>
      <c r="B29" s="41">
        <v>0.5</v>
      </c>
      <c r="C29" s="41">
        <v>0.5</v>
      </c>
      <c r="D29" s="41">
        <v>1</v>
      </c>
      <c r="E29" s="41">
        <v>1</v>
      </c>
      <c r="F29" s="41">
        <v>1</v>
      </c>
      <c r="G29" s="41">
        <v>1</v>
      </c>
      <c r="H29" s="41">
        <v>0.5</v>
      </c>
      <c r="I29" s="41">
        <v>0.5</v>
      </c>
      <c r="J29" s="41">
        <v>0.5</v>
      </c>
      <c r="K29" s="41">
        <v>0.5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</row>
    <row r="30" spans="1:24" s="42" customFormat="1" outlineLevel="1">
      <c r="A30" s="40" t="s">
        <v>113</v>
      </c>
      <c r="B30" s="41">
        <v>2</v>
      </c>
      <c r="C30" s="41">
        <v>2</v>
      </c>
      <c r="D30" s="41">
        <v>2</v>
      </c>
      <c r="E30" s="41">
        <v>2</v>
      </c>
      <c r="F30" s="41">
        <v>2</v>
      </c>
      <c r="G30" s="41">
        <v>2</v>
      </c>
      <c r="H30" s="41">
        <v>2</v>
      </c>
      <c r="I30" s="41">
        <v>2</v>
      </c>
      <c r="J30" s="41">
        <v>2</v>
      </c>
      <c r="K30" s="41">
        <v>2</v>
      </c>
      <c r="L30" s="41">
        <v>2</v>
      </c>
      <c r="M30" s="41">
        <v>2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</row>
    <row r="31" spans="1:24" s="42" customFormat="1" outlineLevel="1">
      <c r="A31" s="40" t="s">
        <v>114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</row>
    <row r="32" spans="1:24" s="37" customFormat="1" outlineLevel="1">
      <c r="A32" s="39" t="s">
        <v>105</v>
      </c>
      <c r="B32" s="38">
        <f>SUM(B33:B35)</f>
        <v>0.5</v>
      </c>
      <c r="C32" s="38">
        <f>SUM(C33:C35)</f>
        <v>1</v>
      </c>
      <c r="D32" s="38">
        <f t="shared" ref="D32:S32" si="32">SUM(D33:D35)</f>
        <v>1</v>
      </c>
      <c r="E32" s="38">
        <f t="shared" si="32"/>
        <v>1</v>
      </c>
      <c r="F32" s="38">
        <f t="shared" si="32"/>
        <v>1</v>
      </c>
      <c r="G32" s="38">
        <f t="shared" si="32"/>
        <v>1</v>
      </c>
      <c r="H32" s="38">
        <f t="shared" si="32"/>
        <v>1</v>
      </c>
      <c r="I32" s="38">
        <f t="shared" si="32"/>
        <v>1</v>
      </c>
      <c r="J32" s="38">
        <f t="shared" si="32"/>
        <v>1</v>
      </c>
      <c r="K32" s="38">
        <f t="shared" si="32"/>
        <v>1</v>
      </c>
      <c r="L32" s="38">
        <f t="shared" si="32"/>
        <v>1</v>
      </c>
      <c r="M32" s="38">
        <f t="shared" si="32"/>
        <v>1</v>
      </c>
      <c r="N32" s="38">
        <f t="shared" si="32"/>
        <v>1</v>
      </c>
      <c r="O32" s="38">
        <f t="shared" si="32"/>
        <v>1</v>
      </c>
      <c r="P32" s="38">
        <f t="shared" si="32"/>
        <v>1</v>
      </c>
      <c r="Q32" s="38">
        <f t="shared" si="32"/>
        <v>1</v>
      </c>
      <c r="R32" s="38">
        <f t="shared" si="32"/>
        <v>1</v>
      </c>
      <c r="S32" s="38">
        <f t="shared" si="32"/>
        <v>1</v>
      </c>
      <c r="T32" s="38">
        <f t="shared" ref="T32:X32" si="33">SUM(T33:T35)</f>
        <v>1</v>
      </c>
      <c r="U32" s="38">
        <f t="shared" si="33"/>
        <v>1</v>
      </c>
      <c r="V32" s="38">
        <f t="shared" si="33"/>
        <v>1</v>
      </c>
      <c r="W32" s="38">
        <f t="shared" si="33"/>
        <v>1</v>
      </c>
      <c r="X32" s="38">
        <f t="shared" si="33"/>
        <v>1</v>
      </c>
    </row>
    <row r="33" spans="1:24" s="42" customFormat="1" outlineLevel="1">
      <c r="A33" s="40" t="s">
        <v>112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</row>
    <row r="34" spans="1:24" s="42" customFormat="1" outlineLevel="1">
      <c r="A34" s="40" t="s">
        <v>113</v>
      </c>
      <c r="B34" s="41">
        <v>0.5</v>
      </c>
      <c r="C34" s="41">
        <v>1</v>
      </c>
      <c r="D34" s="41">
        <v>1</v>
      </c>
      <c r="E34" s="41">
        <v>1</v>
      </c>
      <c r="F34" s="41">
        <v>1</v>
      </c>
      <c r="G34" s="41">
        <v>1</v>
      </c>
      <c r="H34" s="41">
        <v>1</v>
      </c>
      <c r="I34" s="41">
        <v>1</v>
      </c>
      <c r="J34" s="41">
        <v>1</v>
      </c>
      <c r="K34" s="41">
        <v>1</v>
      </c>
      <c r="L34" s="41">
        <v>1</v>
      </c>
      <c r="M34" s="41">
        <v>1</v>
      </c>
      <c r="N34" s="41">
        <v>1</v>
      </c>
      <c r="O34" s="41">
        <v>1</v>
      </c>
      <c r="P34" s="41">
        <v>1</v>
      </c>
      <c r="Q34" s="41">
        <v>1</v>
      </c>
      <c r="R34" s="41">
        <v>1</v>
      </c>
      <c r="S34" s="41">
        <v>1</v>
      </c>
      <c r="T34" s="41">
        <v>1</v>
      </c>
      <c r="U34" s="41">
        <v>1</v>
      </c>
      <c r="V34" s="41">
        <v>1</v>
      </c>
      <c r="W34" s="41">
        <v>1</v>
      </c>
      <c r="X34" s="41">
        <v>1</v>
      </c>
    </row>
    <row r="35" spans="1:24" s="42" customFormat="1" outlineLevel="1">
      <c r="A35" s="40" t="s">
        <v>114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</row>
    <row r="36" spans="1:24" outlineLevel="1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outlineLevel="1">
      <c r="A37" s="43" t="s">
        <v>115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outlineLevel="1">
      <c r="A38" s="44" t="s">
        <v>112</v>
      </c>
      <c r="B38" s="34">
        <v>25000</v>
      </c>
      <c r="C38" s="38">
        <f>B38*(1+$B$42)</f>
        <v>25500</v>
      </c>
      <c r="D38" s="38">
        <f t="shared" ref="D38:S40" si="34">C38*(1+$B$42)</f>
        <v>26010</v>
      </c>
      <c r="E38" s="38">
        <f t="shared" si="34"/>
        <v>26530.2</v>
      </c>
      <c r="F38" s="38">
        <f t="shared" si="34"/>
        <v>27060.804</v>
      </c>
      <c r="G38" s="38">
        <f t="shared" si="34"/>
        <v>27602.020080000002</v>
      </c>
      <c r="H38" s="38">
        <f t="shared" si="34"/>
        <v>28154.060481600001</v>
      </c>
      <c r="I38" s="38">
        <f t="shared" si="34"/>
        <v>28717.141691232002</v>
      </c>
      <c r="J38" s="38">
        <f t="shared" si="34"/>
        <v>29291.484525056643</v>
      </c>
      <c r="K38" s="38">
        <f t="shared" si="34"/>
        <v>29877.314215557777</v>
      </c>
      <c r="L38" s="38">
        <f t="shared" si="34"/>
        <v>30474.860499868933</v>
      </c>
      <c r="M38" s="38">
        <f t="shared" si="34"/>
        <v>31084.357709866312</v>
      </c>
      <c r="N38" s="38">
        <f t="shared" si="34"/>
        <v>31706.044864063639</v>
      </c>
      <c r="O38" s="38">
        <f t="shared" si="34"/>
        <v>32340.165761344913</v>
      </c>
      <c r="P38" s="38">
        <f t="shared" si="34"/>
        <v>32986.969076571811</v>
      </c>
      <c r="Q38" s="38">
        <f t="shared" si="34"/>
        <v>33646.708458103247</v>
      </c>
      <c r="R38" s="38">
        <f t="shared" si="34"/>
        <v>34319.642627265312</v>
      </c>
      <c r="S38" s="38">
        <f t="shared" si="34"/>
        <v>35006.03547981062</v>
      </c>
      <c r="T38" s="38">
        <f t="shared" ref="T38:T40" si="35">S38*(1+$B$42)</f>
        <v>35706.156189406836</v>
      </c>
      <c r="U38" s="38">
        <f t="shared" ref="U38:U40" si="36">T38*(1+$B$42)</f>
        <v>36420.279313194973</v>
      </c>
      <c r="V38" s="38">
        <f t="shared" ref="V38:V40" si="37">U38*(1+$B$42)</f>
        <v>37148.684899458873</v>
      </c>
      <c r="W38" s="38">
        <f t="shared" ref="W38:W40" si="38">V38*(1+$B$42)</f>
        <v>37891.658597448048</v>
      </c>
      <c r="X38" s="38">
        <f t="shared" ref="X38:X40" si="39">W38*(1+$B$42)</f>
        <v>38649.491769397013</v>
      </c>
    </row>
    <row r="39" spans="1:24" outlineLevel="1">
      <c r="A39" s="44" t="s">
        <v>113</v>
      </c>
      <c r="B39" s="34">
        <v>14000</v>
      </c>
      <c r="C39" s="38">
        <f t="shared" ref="C39:N40" si="40">B39*(1+$B$42)</f>
        <v>14280</v>
      </c>
      <c r="D39" s="38">
        <f t="shared" si="40"/>
        <v>14565.6</v>
      </c>
      <c r="E39" s="38">
        <f t="shared" si="40"/>
        <v>14856.912</v>
      </c>
      <c r="F39" s="38">
        <f t="shared" si="40"/>
        <v>15154.05024</v>
      </c>
      <c r="G39" s="38">
        <f t="shared" si="40"/>
        <v>15457.131244800001</v>
      </c>
      <c r="H39" s="38">
        <f t="shared" si="40"/>
        <v>15766.273869696</v>
      </c>
      <c r="I39" s="38">
        <f t="shared" si="40"/>
        <v>16081.599347089921</v>
      </c>
      <c r="J39" s="38">
        <f t="shared" si="40"/>
        <v>16403.23133403172</v>
      </c>
      <c r="K39" s="38">
        <f t="shared" si="40"/>
        <v>16731.295960712356</v>
      </c>
      <c r="L39" s="38">
        <f t="shared" si="40"/>
        <v>17065.921879926602</v>
      </c>
      <c r="M39" s="38">
        <f t="shared" si="40"/>
        <v>17407.240317525135</v>
      </c>
      <c r="N39" s="38">
        <f t="shared" si="40"/>
        <v>17755.385123875636</v>
      </c>
      <c r="O39" s="38">
        <f t="shared" si="34"/>
        <v>18110.492826353147</v>
      </c>
      <c r="P39" s="38">
        <f t="shared" si="34"/>
        <v>18472.702682880212</v>
      </c>
      <c r="Q39" s="38">
        <f t="shared" si="34"/>
        <v>18842.156736537818</v>
      </c>
      <c r="R39" s="38">
        <f t="shared" si="34"/>
        <v>19218.999871268574</v>
      </c>
      <c r="S39" s="38">
        <f t="shared" si="34"/>
        <v>19603.379868693944</v>
      </c>
      <c r="T39" s="38">
        <f t="shared" si="35"/>
        <v>19995.447466067824</v>
      </c>
      <c r="U39" s="38">
        <f t="shared" si="36"/>
        <v>20395.356415389182</v>
      </c>
      <c r="V39" s="38">
        <f t="shared" si="37"/>
        <v>20803.263543696965</v>
      </c>
      <c r="W39" s="38">
        <f t="shared" si="38"/>
        <v>21219.328814570905</v>
      </c>
      <c r="X39" s="38">
        <f t="shared" si="39"/>
        <v>21643.715390862322</v>
      </c>
    </row>
    <row r="40" spans="1:24" outlineLevel="1">
      <c r="A40" s="44" t="s">
        <v>114</v>
      </c>
      <c r="B40" s="34">
        <v>8000</v>
      </c>
      <c r="C40" s="38">
        <f t="shared" si="40"/>
        <v>8160</v>
      </c>
      <c r="D40" s="38">
        <f t="shared" si="40"/>
        <v>8323.2000000000007</v>
      </c>
      <c r="E40" s="38">
        <f t="shared" si="40"/>
        <v>8489.6640000000007</v>
      </c>
      <c r="F40" s="38">
        <f t="shared" si="40"/>
        <v>8659.4572800000005</v>
      </c>
      <c r="G40" s="38">
        <f t="shared" si="40"/>
        <v>8832.6464255999999</v>
      </c>
      <c r="H40" s="38">
        <f t="shared" si="40"/>
        <v>9009.2993541119995</v>
      </c>
      <c r="I40" s="38">
        <f t="shared" si="40"/>
        <v>9189.4853411942404</v>
      </c>
      <c r="J40" s="38">
        <f t="shared" si="40"/>
        <v>9373.2750480181257</v>
      </c>
      <c r="K40" s="38">
        <f t="shared" si="40"/>
        <v>9560.7405489784887</v>
      </c>
      <c r="L40" s="38">
        <f t="shared" si="40"/>
        <v>9751.9553599580595</v>
      </c>
      <c r="M40" s="38">
        <f t="shared" si="40"/>
        <v>9946.9944671572212</v>
      </c>
      <c r="N40" s="38">
        <f t="shared" si="40"/>
        <v>10145.934356500366</v>
      </c>
      <c r="O40" s="38">
        <f t="shared" si="34"/>
        <v>10348.853043630374</v>
      </c>
      <c r="P40" s="38">
        <f t="shared" si="34"/>
        <v>10555.830104502982</v>
      </c>
      <c r="Q40" s="38">
        <f t="shared" si="34"/>
        <v>10766.946706593042</v>
      </c>
      <c r="R40" s="38">
        <f t="shared" si="34"/>
        <v>10982.285640724904</v>
      </c>
      <c r="S40" s="38">
        <f t="shared" si="34"/>
        <v>11201.931353539401</v>
      </c>
      <c r="T40" s="38">
        <f t="shared" si="35"/>
        <v>11425.969980610189</v>
      </c>
      <c r="U40" s="38">
        <f t="shared" si="36"/>
        <v>11654.489380222392</v>
      </c>
      <c r="V40" s="38">
        <f t="shared" si="37"/>
        <v>11887.57916782684</v>
      </c>
      <c r="W40" s="38">
        <f t="shared" si="38"/>
        <v>12125.330751183377</v>
      </c>
      <c r="X40" s="38">
        <f t="shared" si="39"/>
        <v>12367.837366207044</v>
      </c>
    </row>
    <row r="41" spans="1:24" outlineLevel="1"/>
    <row r="42" spans="1:24" outlineLevel="1">
      <c r="A42" s="43" t="s">
        <v>116</v>
      </c>
      <c r="B42" s="45">
        <v>0.02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outlineLevel="1"/>
    <row r="44" spans="1:24" s="33" customFormat="1">
      <c r="A44" s="33" t="s">
        <v>129</v>
      </c>
    </row>
    <row r="45" spans="1:24" s="37" customFormat="1" outlineLevel="1">
      <c r="A45" s="37" t="s">
        <v>117</v>
      </c>
      <c r="B45" s="38">
        <f>B46+B51+B56+B61</f>
        <v>175000</v>
      </c>
      <c r="C45" s="38">
        <f>C46+C51+C56+C61</f>
        <v>267500</v>
      </c>
      <c r="D45" s="38">
        <f t="shared" ref="D45:S45" si="41">D46+D51+D56+D61</f>
        <v>727500</v>
      </c>
      <c r="E45" s="38">
        <f t="shared" si="41"/>
        <v>747500</v>
      </c>
      <c r="F45" s="38">
        <f t="shared" si="41"/>
        <v>747500</v>
      </c>
      <c r="G45" s="38">
        <f>G46+G51+G56+G61</f>
        <v>747500</v>
      </c>
      <c r="H45" s="38">
        <f t="shared" si="41"/>
        <v>725000</v>
      </c>
      <c r="I45" s="38">
        <f t="shared" si="41"/>
        <v>715000</v>
      </c>
      <c r="J45" s="38">
        <f t="shared" si="41"/>
        <v>505000</v>
      </c>
      <c r="K45" s="38">
        <f t="shared" si="41"/>
        <v>495000</v>
      </c>
      <c r="L45" s="38">
        <f>L46+L51+L56+L61</f>
        <v>285000</v>
      </c>
      <c r="M45" s="38">
        <f t="shared" si="41"/>
        <v>285000</v>
      </c>
      <c r="N45" s="38">
        <f t="shared" si="41"/>
        <v>225000</v>
      </c>
      <c r="O45" s="38">
        <f t="shared" si="41"/>
        <v>225000</v>
      </c>
      <c r="P45" s="38">
        <f t="shared" si="41"/>
        <v>225000</v>
      </c>
      <c r="Q45" s="38">
        <f t="shared" si="41"/>
        <v>225000</v>
      </c>
      <c r="R45" s="38">
        <f t="shared" si="41"/>
        <v>215000</v>
      </c>
      <c r="S45" s="38">
        <f t="shared" si="41"/>
        <v>205000</v>
      </c>
      <c r="T45" s="38">
        <f t="shared" ref="T45:X45" si="42">T46+T51+T56+T61</f>
        <v>205000</v>
      </c>
      <c r="U45" s="38">
        <f t="shared" si="42"/>
        <v>205000</v>
      </c>
      <c r="V45" s="38">
        <f t="shared" si="42"/>
        <v>205000</v>
      </c>
      <c r="W45" s="38">
        <f t="shared" si="42"/>
        <v>205000</v>
      </c>
      <c r="X45" s="38">
        <f t="shared" si="42"/>
        <v>205000</v>
      </c>
    </row>
    <row r="46" spans="1:24" s="37" customFormat="1" outlineLevel="1">
      <c r="A46" s="39" t="s">
        <v>118</v>
      </c>
      <c r="B46" s="38">
        <f>B47+B49</f>
        <v>40000</v>
      </c>
      <c r="C46" s="38">
        <f>C47+C49</f>
        <v>60000</v>
      </c>
      <c r="D46" s="38">
        <f t="shared" ref="D46:S46" si="43">D47+D49</f>
        <v>290000</v>
      </c>
      <c r="E46" s="38">
        <f t="shared" si="43"/>
        <v>310000</v>
      </c>
      <c r="F46" s="38">
        <f t="shared" si="43"/>
        <v>310000</v>
      </c>
      <c r="G46" s="38">
        <f t="shared" si="43"/>
        <v>310000</v>
      </c>
      <c r="H46" s="38">
        <f t="shared" si="43"/>
        <v>290000</v>
      </c>
      <c r="I46" s="38">
        <f t="shared" si="43"/>
        <v>280000</v>
      </c>
      <c r="J46" s="38">
        <f t="shared" si="43"/>
        <v>170000</v>
      </c>
      <c r="K46" s="38">
        <f t="shared" si="43"/>
        <v>160000</v>
      </c>
      <c r="L46" s="38">
        <f t="shared" si="43"/>
        <v>60000</v>
      </c>
      <c r="M46" s="38">
        <f t="shared" si="43"/>
        <v>60000</v>
      </c>
      <c r="N46" s="38">
        <f t="shared" si="43"/>
        <v>10000</v>
      </c>
      <c r="O46" s="38">
        <f t="shared" si="43"/>
        <v>10000</v>
      </c>
      <c r="P46" s="38">
        <f t="shared" si="43"/>
        <v>10000</v>
      </c>
      <c r="Q46" s="38">
        <f t="shared" si="43"/>
        <v>10000</v>
      </c>
      <c r="R46" s="38">
        <f t="shared" si="43"/>
        <v>0</v>
      </c>
      <c r="S46" s="38">
        <f t="shared" si="43"/>
        <v>0</v>
      </c>
      <c r="T46" s="38">
        <f t="shared" ref="T46:X46" si="44">T47+T49</f>
        <v>0</v>
      </c>
      <c r="U46" s="38">
        <f t="shared" si="44"/>
        <v>0</v>
      </c>
      <c r="V46" s="38">
        <f t="shared" si="44"/>
        <v>0</v>
      </c>
      <c r="W46" s="38">
        <f t="shared" si="44"/>
        <v>0</v>
      </c>
      <c r="X46" s="38">
        <f t="shared" si="44"/>
        <v>0</v>
      </c>
    </row>
    <row r="47" spans="1:24" s="37" customFormat="1" outlineLevel="1">
      <c r="A47" s="74" t="s">
        <v>119</v>
      </c>
      <c r="B47" s="38">
        <f>B48*B20</f>
        <v>20000</v>
      </c>
      <c r="C47" s="38">
        <f>C48*C20</f>
        <v>20000</v>
      </c>
      <c r="D47" s="38">
        <f t="shared" ref="D47:S47" si="45">D48*D20</f>
        <v>90000</v>
      </c>
      <c r="E47" s="38">
        <f t="shared" si="45"/>
        <v>110000</v>
      </c>
      <c r="F47" s="38">
        <f t="shared" si="45"/>
        <v>110000</v>
      </c>
      <c r="G47" s="38">
        <f>G48*G20</f>
        <v>110000</v>
      </c>
      <c r="H47" s="38">
        <f t="shared" si="45"/>
        <v>90000</v>
      </c>
      <c r="I47" s="38">
        <f t="shared" si="45"/>
        <v>80000</v>
      </c>
      <c r="J47" s="38">
        <f t="shared" si="45"/>
        <v>70000</v>
      </c>
      <c r="K47" s="38">
        <f t="shared" si="45"/>
        <v>60000</v>
      </c>
      <c r="L47" s="38">
        <f>L48*L20</f>
        <v>60000</v>
      </c>
      <c r="M47" s="38">
        <f t="shared" si="45"/>
        <v>60000</v>
      </c>
      <c r="N47" s="38">
        <f t="shared" si="45"/>
        <v>10000</v>
      </c>
      <c r="O47" s="38">
        <f t="shared" si="45"/>
        <v>10000</v>
      </c>
      <c r="P47" s="38">
        <f t="shared" si="45"/>
        <v>10000</v>
      </c>
      <c r="Q47" s="38">
        <f t="shared" si="45"/>
        <v>10000</v>
      </c>
      <c r="R47" s="38">
        <f t="shared" si="45"/>
        <v>0</v>
      </c>
      <c r="S47" s="38">
        <f t="shared" si="45"/>
        <v>0</v>
      </c>
      <c r="T47" s="38">
        <f t="shared" ref="T47:X47" si="46">T48*T20</f>
        <v>0</v>
      </c>
      <c r="U47" s="38">
        <f t="shared" si="46"/>
        <v>0</v>
      </c>
      <c r="V47" s="38">
        <f t="shared" si="46"/>
        <v>0</v>
      </c>
      <c r="W47" s="38">
        <f t="shared" si="46"/>
        <v>0</v>
      </c>
      <c r="X47" s="38">
        <f t="shared" si="46"/>
        <v>0</v>
      </c>
    </row>
    <row r="48" spans="1:24" outlineLevel="1">
      <c r="A48" s="47" t="s">
        <v>120</v>
      </c>
      <c r="B48" s="34">
        <v>20000</v>
      </c>
      <c r="C48" s="34">
        <v>20000</v>
      </c>
      <c r="D48" s="34">
        <v>10000</v>
      </c>
      <c r="E48" s="34">
        <v>10000</v>
      </c>
      <c r="F48" s="34">
        <v>10000</v>
      </c>
      <c r="G48" s="34">
        <v>10000</v>
      </c>
      <c r="H48" s="34">
        <v>10000</v>
      </c>
      <c r="I48" s="34">
        <v>10000</v>
      </c>
      <c r="J48" s="34">
        <v>10000</v>
      </c>
      <c r="K48" s="34">
        <v>10000</v>
      </c>
      <c r="L48" s="34">
        <v>10000</v>
      </c>
      <c r="M48" s="34">
        <v>10000</v>
      </c>
      <c r="N48" s="34">
        <v>10000</v>
      </c>
      <c r="O48" s="34">
        <v>10000</v>
      </c>
      <c r="P48" s="34">
        <v>10000</v>
      </c>
      <c r="Q48" s="34">
        <v>10000</v>
      </c>
      <c r="R48" s="34">
        <v>10000</v>
      </c>
      <c r="S48" s="34">
        <v>10000</v>
      </c>
      <c r="T48" s="34">
        <v>10000</v>
      </c>
      <c r="U48" s="34">
        <v>10000</v>
      </c>
      <c r="V48" s="34">
        <v>10000</v>
      </c>
      <c r="W48" s="34">
        <v>10000</v>
      </c>
      <c r="X48" s="34">
        <v>10000</v>
      </c>
    </row>
    <row r="49" spans="1:24" outlineLevel="1">
      <c r="A49" s="75" t="s">
        <v>121</v>
      </c>
      <c r="B49" s="34">
        <v>20000</v>
      </c>
      <c r="C49" s="34">
        <v>40000</v>
      </c>
      <c r="D49" s="34">
        <v>200000</v>
      </c>
      <c r="E49" s="34">
        <v>200000</v>
      </c>
      <c r="F49" s="34">
        <v>200000</v>
      </c>
      <c r="G49" s="34">
        <v>200000</v>
      </c>
      <c r="H49" s="34">
        <v>200000</v>
      </c>
      <c r="I49" s="34">
        <v>200000</v>
      </c>
      <c r="J49" s="34">
        <v>100000</v>
      </c>
      <c r="K49" s="34">
        <v>100000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</row>
    <row r="50" spans="1:24" outlineLevel="1">
      <c r="A50" s="3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s="37" customFormat="1" outlineLevel="1">
      <c r="A51" s="39" t="s">
        <v>103</v>
      </c>
      <c r="B51" s="38">
        <f>B52+B54</f>
        <v>12500</v>
      </c>
      <c r="C51" s="38">
        <f>C52+C54</f>
        <v>12500</v>
      </c>
      <c r="D51" s="38">
        <f t="shared" ref="D51:S51" si="47">D52+D54</f>
        <v>17500</v>
      </c>
      <c r="E51" s="38">
        <f t="shared" si="47"/>
        <v>17500</v>
      </c>
      <c r="F51" s="38">
        <f t="shared" si="47"/>
        <v>17500</v>
      </c>
      <c r="G51" s="38">
        <f t="shared" si="47"/>
        <v>17500</v>
      </c>
      <c r="H51" s="38">
        <f t="shared" si="47"/>
        <v>17500</v>
      </c>
      <c r="I51" s="38">
        <f t="shared" si="47"/>
        <v>17500</v>
      </c>
      <c r="J51" s="38">
        <f t="shared" si="47"/>
        <v>17500</v>
      </c>
      <c r="K51" s="38">
        <f t="shared" si="47"/>
        <v>17500</v>
      </c>
      <c r="L51" s="38">
        <f t="shared" si="47"/>
        <v>10000</v>
      </c>
      <c r="M51" s="38">
        <f t="shared" si="47"/>
        <v>10000</v>
      </c>
      <c r="N51" s="38">
        <f t="shared" si="47"/>
        <v>10000</v>
      </c>
      <c r="O51" s="38">
        <f t="shared" si="47"/>
        <v>10000</v>
      </c>
      <c r="P51" s="38">
        <f t="shared" si="47"/>
        <v>10000</v>
      </c>
      <c r="Q51" s="38">
        <f t="shared" si="47"/>
        <v>10000</v>
      </c>
      <c r="R51" s="38">
        <f t="shared" si="47"/>
        <v>10000</v>
      </c>
      <c r="S51" s="38">
        <f t="shared" si="47"/>
        <v>0</v>
      </c>
      <c r="T51" s="38">
        <f t="shared" ref="T51:X51" si="48">T52+T54</f>
        <v>0</v>
      </c>
      <c r="U51" s="38">
        <f t="shared" si="48"/>
        <v>0</v>
      </c>
      <c r="V51" s="38">
        <f t="shared" si="48"/>
        <v>0</v>
      </c>
      <c r="W51" s="38">
        <f t="shared" si="48"/>
        <v>0</v>
      </c>
      <c r="X51" s="38">
        <f t="shared" si="48"/>
        <v>0</v>
      </c>
    </row>
    <row r="52" spans="1:24" s="37" customFormat="1" outlineLevel="1">
      <c r="A52" s="46" t="s">
        <v>122</v>
      </c>
      <c r="B52" s="38">
        <f>B53*B24</f>
        <v>2500</v>
      </c>
      <c r="C52" s="38">
        <f>C53*C24</f>
        <v>2500</v>
      </c>
      <c r="D52" s="38">
        <f t="shared" ref="D52:S52" si="49">D53*D24</f>
        <v>7500</v>
      </c>
      <c r="E52" s="38">
        <f t="shared" si="49"/>
        <v>7500</v>
      </c>
      <c r="F52" s="38">
        <f t="shared" si="49"/>
        <v>7500</v>
      </c>
      <c r="G52" s="38">
        <f t="shared" si="49"/>
        <v>7500</v>
      </c>
      <c r="H52" s="38">
        <f t="shared" si="49"/>
        <v>7500</v>
      </c>
      <c r="I52" s="38">
        <f t="shared" si="49"/>
        <v>7500</v>
      </c>
      <c r="J52" s="38">
        <f t="shared" si="49"/>
        <v>7500</v>
      </c>
      <c r="K52" s="38">
        <f t="shared" si="49"/>
        <v>7500</v>
      </c>
      <c r="L52" s="38">
        <f t="shared" si="49"/>
        <v>0</v>
      </c>
      <c r="M52" s="38">
        <f t="shared" si="49"/>
        <v>0</v>
      </c>
      <c r="N52" s="38">
        <f t="shared" si="49"/>
        <v>0</v>
      </c>
      <c r="O52" s="38">
        <f t="shared" si="49"/>
        <v>0</v>
      </c>
      <c r="P52" s="38">
        <f t="shared" si="49"/>
        <v>0</v>
      </c>
      <c r="Q52" s="38">
        <f t="shared" si="49"/>
        <v>0</v>
      </c>
      <c r="R52" s="38">
        <f t="shared" si="49"/>
        <v>0</v>
      </c>
      <c r="S52" s="38">
        <f t="shared" si="49"/>
        <v>0</v>
      </c>
      <c r="T52" s="38">
        <f t="shared" ref="T52:X52" si="50">T53*T24</f>
        <v>0</v>
      </c>
      <c r="U52" s="38">
        <f t="shared" si="50"/>
        <v>0</v>
      </c>
      <c r="V52" s="38">
        <f t="shared" si="50"/>
        <v>0</v>
      </c>
      <c r="W52" s="38">
        <f t="shared" si="50"/>
        <v>0</v>
      </c>
      <c r="X52" s="38">
        <f t="shared" si="50"/>
        <v>0</v>
      </c>
    </row>
    <row r="53" spans="1:24" outlineLevel="1">
      <c r="A53" s="47" t="s">
        <v>120</v>
      </c>
      <c r="B53" s="34">
        <v>5000</v>
      </c>
      <c r="C53" s="34">
        <v>5000</v>
      </c>
      <c r="D53" s="34">
        <v>5000</v>
      </c>
      <c r="E53" s="34">
        <v>5000</v>
      </c>
      <c r="F53" s="34">
        <v>5000</v>
      </c>
      <c r="G53" s="34">
        <v>5000</v>
      </c>
      <c r="H53" s="34">
        <v>5000</v>
      </c>
      <c r="I53" s="34">
        <v>5000</v>
      </c>
      <c r="J53" s="34">
        <v>5000</v>
      </c>
      <c r="K53" s="34">
        <v>5000</v>
      </c>
      <c r="L53" s="34">
        <v>5000</v>
      </c>
      <c r="M53" s="34">
        <v>5000</v>
      </c>
      <c r="N53" s="34">
        <v>5000</v>
      </c>
      <c r="O53" s="34">
        <v>5000</v>
      </c>
      <c r="P53" s="34">
        <v>5000</v>
      </c>
      <c r="Q53" s="34">
        <v>5000</v>
      </c>
      <c r="R53" s="34">
        <v>5000</v>
      </c>
      <c r="S53" s="34">
        <v>5000</v>
      </c>
      <c r="T53" s="34">
        <v>5000</v>
      </c>
      <c r="U53" s="34">
        <v>5000</v>
      </c>
      <c r="V53" s="34">
        <v>5000</v>
      </c>
      <c r="W53" s="34">
        <v>5000</v>
      </c>
      <c r="X53" s="34">
        <v>5000</v>
      </c>
    </row>
    <row r="54" spans="1:24" outlineLevel="1">
      <c r="A54" s="75" t="s">
        <v>123</v>
      </c>
      <c r="B54" s="34">
        <v>10000</v>
      </c>
      <c r="C54" s="34">
        <v>10000</v>
      </c>
      <c r="D54" s="34">
        <v>10000</v>
      </c>
      <c r="E54" s="34">
        <v>10000</v>
      </c>
      <c r="F54" s="34">
        <v>10000</v>
      </c>
      <c r="G54" s="34">
        <v>10000</v>
      </c>
      <c r="H54" s="34">
        <v>10000</v>
      </c>
      <c r="I54" s="34">
        <v>10000</v>
      </c>
      <c r="J54" s="34">
        <v>10000</v>
      </c>
      <c r="K54" s="34">
        <v>10000</v>
      </c>
      <c r="L54" s="34">
        <v>10000</v>
      </c>
      <c r="M54" s="34">
        <v>10000</v>
      </c>
      <c r="N54" s="34">
        <v>10000</v>
      </c>
      <c r="O54" s="34">
        <v>10000</v>
      </c>
      <c r="P54" s="34">
        <v>10000</v>
      </c>
      <c r="Q54" s="34">
        <v>10000</v>
      </c>
      <c r="R54" s="34">
        <v>10000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</row>
    <row r="55" spans="1:24" outlineLevel="1">
      <c r="A55" s="35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s="37" customFormat="1" outlineLevel="1">
      <c r="A56" s="39" t="s">
        <v>104</v>
      </c>
      <c r="B56" s="38">
        <f>B57+B59</f>
        <v>70000</v>
      </c>
      <c r="C56" s="38">
        <f>C57+C59</f>
        <v>90000</v>
      </c>
      <c r="D56" s="38">
        <f t="shared" ref="D56:S56" si="51">D57+D59</f>
        <v>215000</v>
      </c>
      <c r="E56" s="38">
        <f t="shared" si="51"/>
        <v>215000</v>
      </c>
      <c r="F56" s="38">
        <f t="shared" si="51"/>
        <v>215000</v>
      </c>
      <c r="G56" s="38">
        <f t="shared" si="51"/>
        <v>215000</v>
      </c>
      <c r="H56" s="38">
        <f t="shared" si="51"/>
        <v>212500</v>
      </c>
      <c r="I56" s="38">
        <f t="shared" si="51"/>
        <v>212500</v>
      </c>
      <c r="J56" s="38">
        <f t="shared" si="51"/>
        <v>112500</v>
      </c>
      <c r="K56" s="38">
        <f t="shared" si="51"/>
        <v>112500</v>
      </c>
      <c r="L56" s="38">
        <f t="shared" si="51"/>
        <v>10000</v>
      </c>
      <c r="M56" s="38">
        <f t="shared" si="51"/>
        <v>10000</v>
      </c>
      <c r="N56" s="38">
        <f t="shared" si="51"/>
        <v>0</v>
      </c>
      <c r="O56" s="38">
        <f t="shared" si="51"/>
        <v>0</v>
      </c>
      <c r="P56" s="38">
        <f t="shared" si="51"/>
        <v>0</v>
      </c>
      <c r="Q56" s="38">
        <f t="shared" si="51"/>
        <v>0</v>
      </c>
      <c r="R56" s="38">
        <f t="shared" si="51"/>
        <v>0</v>
      </c>
      <c r="S56" s="38">
        <f t="shared" si="51"/>
        <v>0</v>
      </c>
      <c r="T56" s="38">
        <f t="shared" ref="T56:X56" si="52">T57+T59</f>
        <v>0</v>
      </c>
      <c r="U56" s="38">
        <f t="shared" si="52"/>
        <v>0</v>
      </c>
      <c r="V56" s="38">
        <f t="shared" si="52"/>
        <v>0</v>
      </c>
      <c r="W56" s="38">
        <f t="shared" si="52"/>
        <v>0</v>
      </c>
      <c r="X56" s="38">
        <f t="shared" si="52"/>
        <v>0</v>
      </c>
    </row>
    <row r="57" spans="1:24" s="37" customFormat="1" outlineLevel="1">
      <c r="A57" s="46" t="s">
        <v>122</v>
      </c>
      <c r="B57" s="38">
        <f>B58*B28</f>
        <v>50000</v>
      </c>
      <c r="C57" s="38">
        <f>C58*C28</f>
        <v>50000</v>
      </c>
      <c r="D57" s="38">
        <f t="shared" ref="D57:S57" si="53">D58*D28</f>
        <v>15000</v>
      </c>
      <c r="E57" s="38">
        <f t="shared" si="53"/>
        <v>15000</v>
      </c>
      <c r="F57" s="38">
        <f t="shared" si="53"/>
        <v>15000</v>
      </c>
      <c r="G57" s="38">
        <f t="shared" si="53"/>
        <v>15000</v>
      </c>
      <c r="H57" s="38">
        <f t="shared" si="53"/>
        <v>12500</v>
      </c>
      <c r="I57" s="38">
        <f t="shared" si="53"/>
        <v>12500</v>
      </c>
      <c r="J57" s="38">
        <f t="shared" si="53"/>
        <v>12500</v>
      </c>
      <c r="K57" s="38">
        <f t="shared" si="53"/>
        <v>12500</v>
      </c>
      <c r="L57" s="38">
        <f t="shared" si="53"/>
        <v>10000</v>
      </c>
      <c r="M57" s="38">
        <f t="shared" si="53"/>
        <v>10000</v>
      </c>
      <c r="N57" s="38">
        <f>N58*N28</f>
        <v>0</v>
      </c>
      <c r="O57" s="38">
        <f t="shared" si="53"/>
        <v>0</v>
      </c>
      <c r="P57" s="38">
        <f t="shared" si="53"/>
        <v>0</v>
      </c>
      <c r="Q57" s="38">
        <f t="shared" si="53"/>
        <v>0</v>
      </c>
      <c r="R57" s="38">
        <f t="shared" si="53"/>
        <v>0</v>
      </c>
      <c r="S57" s="38">
        <f t="shared" si="53"/>
        <v>0</v>
      </c>
      <c r="T57" s="38">
        <f t="shared" ref="T57:X57" si="54">T58*T28</f>
        <v>0</v>
      </c>
      <c r="U57" s="38">
        <f t="shared" si="54"/>
        <v>0</v>
      </c>
      <c r="V57" s="38">
        <f t="shared" si="54"/>
        <v>0</v>
      </c>
      <c r="W57" s="38">
        <f t="shared" si="54"/>
        <v>0</v>
      </c>
      <c r="X57" s="38">
        <f t="shared" si="54"/>
        <v>0</v>
      </c>
    </row>
    <row r="58" spans="1:24" outlineLevel="1">
      <c r="A58" s="47" t="s">
        <v>120</v>
      </c>
      <c r="B58" s="34">
        <v>20000</v>
      </c>
      <c r="C58" s="34">
        <v>20000</v>
      </c>
      <c r="D58" s="34">
        <v>5000</v>
      </c>
      <c r="E58" s="34">
        <v>5000</v>
      </c>
      <c r="F58" s="34">
        <v>5000</v>
      </c>
      <c r="G58" s="34">
        <v>5000</v>
      </c>
      <c r="H58" s="34">
        <v>5000</v>
      </c>
      <c r="I58" s="34">
        <v>5000</v>
      </c>
      <c r="J58" s="34">
        <v>5000</v>
      </c>
      <c r="K58" s="34">
        <v>5000</v>
      </c>
      <c r="L58" s="34">
        <v>5000</v>
      </c>
      <c r="M58" s="34">
        <v>5000</v>
      </c>
      <c r="N58" s="34">
        <v>5000</v>
      </c>
      <c r="O58" s="34">
        <v>5000</v>
      </c>
      <c r="P58" s="34">
        <v>5000</v>
      </c>
      <c r="Q58" s="34">
        <v>5000</v>
      </c>
      <c r="R58" s="34">
        <v>5000</v>
      </c>
      <c r="S58" s="34">
        <v>5000</v>
      </c>
      <c r="T58" s="34">
        <v>5000</v>
      </c>
      <c r="U58" s="34">
        <v>5000</v>
      </c>
      <c r="V58" s="34">
        <v>5000</v>
      </c>
      <c r="W58" s="34">
        <v>5000</v>
      </c>
      <c r="X58" s="34">
        <v>5000</v>
      </c>
    </row>
    <row r="59" spans="1:24" outlineLevel="1">
      <c r="A59" s="44" t="s">
        <v>124</v>
      </c>
      <c r="B59" s="34">
        <v>20000</v>
      </c>
      <c r="C59" s="34">
        <v>40000</v>
      </c>
      <c r="D59" s="34">
        <v>200000</v>
      </c>
      <c r="E59" s="34">
        <v>200000</v>
      </c>
      <c r="F59" s="34">
        <v>200000</v>
      </c>
      <c r="G59" s="34">
        <v>200000</v>
      </c>
      <c r="H59" s="34">
        <v>200000</v>
      </c>
      <c r="I59" s="34">
        <v>200000</v>
      </c>
      <c r="J59" s="34">
        <v>100000</v>
      </c>
      <c r="K59" s="34">
        <v>100000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</row>
    <row r="60" spans="1:24" outlineLevel="1">
      <c r="A60" s="35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s="37" customFormat="1" outlineLevel="1">
      <c r="A61" s="39" t="s">
        <v>105</v>
      </c>
      <c r="B61" s="38">
        <f>B62+B64</f>
        <v>52500</v>
      </c>
      <c r="C61" s="38">
        <f>C62+C64</f>
        <v>105000</v>
      </c>
      <c r="D61" s="38">
        <f t="shared" ref="D61:S61" si="55">D62+D64</f>
        <v>205000</v>
      </c>
      <c r="E61" s="38">
        <f t="shared" si="55"/>
        <v>205000</v>
      </c>
      <c r="F61" s="38">
        <f t="shared" si="55"/>
        <v>205000</v>
      </c>
      <c r="G61" s="38">
        <f t="shared" si="55"/>
        <v>205000</v>
      </c>
      <c r="H61" s="38">
        <f t="shared" si="55"/>
        <v>205000</v>
      </c>
      <c r="I61" s="38">
        <f t="shared" si="55"/>
        <v>205000</v>
      </c>
      <c r="J61" s="38">
        <f t="shared" si="55"/>
        <v>205000</v>
      </c>
      <c r="K61" s="38">
        <f t="shared" si="55"/>
        <v>205000</v>
      </c>
      <c r="L61" s="38">
        <f t="shared" si="55"/>
        <v>205000</v>
      </c>
      <c r="M61" s="38">
        <f t="shared" si="55"/>
        <v>205000</v>
      </c>
      <c r="N61" s="38">
        <f t="shared" si="55"/>
        <v>205000</v>
      </c>
      <c r="O61" s="38">
        <f t="shared" si="55"/>
        <v>205000</v>
      </c>
      <c r="P61" s="38">
        <f t="shared" si="55"/>
        <v>205000</v>
      </c>
      <c r="Q61" s="38">
        <f t="shared" si="55"/>
        <v>205000</v>
      </c>
      <c r="R61" s="38">
        <f t="shared" si="55"/>
        <v>205000</v>
      </c>
      <c r="S61" s="38">
        <f t="shared" si="55"/>
        <v>205000</v>
      </c>
      <c r="T61" s="38">
        <f t="shared" ref="T61:X61" si="56">T62+T64</f>
        <v>205000</v>
      </c>
      <c r="U61" s="38">
        <f t="shared" si="56"/>
        <v>205000</v>
      </c>
      <c r="V61" s="38">
        <f t="shared" si="56"/>
        <v>205000</v>
      </c>
      <c r="W61" s="38">
        <f t="shared" si="56"/>
        <v>205000</v>
      </c>
      <c r="X61" s="38">
        <f t="shared" si="56"/>
        <v>205000</v>
      </c>
    </row>
    <row r="62" spans="1:24" s="37" customFormat="1" outlineLevel="1">
      <c r="A62" s="46" t="s">
        <v>122</v>
      </c>
      <c r="B62" s="38">
        <f>B63*B32</f>
        <v>2500</v>
      </c>
      <c r="C62" s="38">
        <f>C63*C32</f>
        <v>5000</v>
      </c>
      <c r="D62" s="38">
        <f t="shared" ref="D62:S62" si="57">D63*D32</f>
        <v>5000</v>
      </c>
      <c r="E62" s="38">
        <f t="shared" si="57"/>
        <v>5000</v>
      </c>
      <c r="F62" s="38">
        <f t="shared" si="57"/>
        <v>5000</v>
      </c>
      <c r="G62" s="38">
        <f t="shared" si="57"/>
        <v>5000</v>
      </c>
      <c r="H62" s="38">
        <f t="shared" si="57"/>
        <v>5000</v>
      </c>
      <c r="I62" s="38">
        <f t="shared" si="57"/>
        <v>5000</v>
      </c>
      <c r="J62" s="38">
        <f t="shared" si="57"/>
        <v>5000</v>
      </c>
      <c r="K62" s="38">
        <f t="shared" si="57"/>
        <v>5000</v>
      </c>
      <c r="L62" s="38">
        <f t="shared" si="57"/>
        <v>5000</v>
      </c>
      <c r="M62" s="38">
        <f t="shared" si="57"/>
        <v>5000</v>
      </c>
      <c r="N62" s="38">
        <f t="shared" si="57"/>
        <v>5000</v>
      </c>
      <c r="O62" s="38">
        <f t="shared" si="57"/>
        <v>5000</v>
      </c>
      <c r="P62" s="38">
        <f t="shared" si="57"/>
        <v>5000</v>
      </c>
      <c r="Q62" s="38">
        <f t="shared" si="57"/>
        <v>5000</v>
      </c>
      <c r="R62" s="38">
        <f t="shared" si="57"/>
        <v>5000</v>
      </c>
      <c r="S62" s="38">
        <f t="shared" si="57"/>
        <v>5000</v>
      </c>
      <c r="T62" s="38">
        <f t="shared" ref="T62:X62" si="58">T63*T32</f>
        <v>5000</v>
      </c>
      <c r="U62" s="38">
        <f t="shared" si="58"/>
        <v>5000</v>
      </c>
      <c r="V62" s="38">
        <f t="shared" si="58"/>
        <v>5000</v>
      </c>
      <c r="W62" s="38">
        <f t="shared" si="58"/>
        <v>5000</v>
      </c>
      <c r="X62" s="38">
        <f t="shared" si="58"/>
        <v>5000</v>
      </c>
    </row>
    <row r="63" spans="1:24" outlineLevel="1">
      <c r="A63" s="47" t="s">
        <v>120</v>
      </c>
      <c r="B63" s="34">
        <v>5000</v>
      </c>
      <c r="C63" s="34">
        <v>5000</v>
      </c>
      <c r="D63" s="34">
        <v>5000</v>
      </c>
      <c r="E63" s="34">
        <v>5000</v>
      </c>
      <c r="F63" s="34">
        <v>5000</v>
      </c>
      <c r="G63" s="34">
        <v>5000</v>
      </c>
      <c r="H63" s="34">
        <v>5000</v>
      </c>
      <c r="I63" s="34">
        <v>5000</v>
      </c>
      <c r="J63" s="34">
        <v>5000</v>
      </c>
      <c r="K63" s="34">
        <v>5000</v>
      </c>
      <c r="L63" s="34">
        <v>5000</v>
      </c>
      <c r="M63" s="34">
        <v>5000</v>
      </c>
      <c r="N63" s="34">
        <v>5000</v>
      </c>
      <c r="O63" s="34">
        <v>5000</v>
      </c>
      <c r="P63" s="34">
        <v>5000</v>
      </c>
      <c r="Q63" s="34">
        <v>5000</v>
      </c>
      <c r="R63" s="34">
        <v>5000</v>
      </c>
      <c r="S63" s="34">
        <v>5000</v>
      </c>
      <c r="T63" s="34">
        <v>5000</v>
      </c>
      <c r="U63" s="34">
        <v>5000</v>
      </c>
      <c r="V63" s="34">
        <v>5000</v>
      </c>
      <c r="W63" s="34">
        <v>5000</v>
      </c>
      <c r="X63" s="34">
        <v>5000</v>
      </c>
    </row>
    <row r="64" spans="1:24" outlineLevel="1">
      <c r="A64" s="44" t="s">
        <v>125</v>
      </c>
      <c r="B64" s="34">
        <v>50000</v>
      </c>
      <c r="C64" s="34">
        <v>100000</v>
      </c>
      <c r="D64" s="34">
        <v>200000</v>
      </c>
      <c r="E64" s="34">
        <v>200000</v>
      </c>
      <c r="F64" s="34">
        <v>200000</v>
      </c>
      <c r="G64" s="34">
        <v>200000</v>
      </c>
      <c r="H64" s="34">
        <v>200000</v>
      </c>
      <c r="I64" s="34">
        <v>200000</v>
      </c>
      <c r="J64" s="34">
        <v>200000</v>
      </c>
      <c r="K64" s="34">
        <v>200000</v>
      </c>
      <c r="L64" s="34">
        <v>200000</v>
      </c>
      <c r="M64" s="34">
        <v>200000</v>
      </c>
      <c r="N64" s="34">
        <v>200000</v>
      </c>
      <c r="O64" s="34">
        <v>200000</v>
      </c>
      <c r="P64" s="34">
        <v>200000</v>
      </c>
      <c r="Q64" s="34">
        <v>200000</v>
      </c>
      <c r="R64" s="34">
        <v>200000</v>
      </c>
      <c r="S64" s="34">
        <v>200000</v>
      </c>
      <c r="T64" s="34">
        <v>200000</v>
      </c>
      <c r="U64" s="34">
        <v>200000</v>
      </c>
      <c r="V64" s="34">
        <v>200000</v>
      </c>
      <c r="W64" s="34">
        <v>200000</v>
      </c>
      <c r="X64" s="34">
        <v>200000</v>
      </c>
    </row>
  </sheetData>
  <phoneticPr fontId="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6"/>
  <sheetViews>
    <sheetView workbookViewId="0">
      <selection activeCell="B26" sqref="B26"/>
    </sheetView>
  </sheetViews>
  <sheetFormatPr defaultRowHeight="14.5"/>
  <cols>
    <col min="1" max="1" width="25.26953125" customWidth="1"/>
  </cols>
  <sheetData>
    <row r="1" spans="1:21" s="31" customFormat="1" ht="18"/>
    <row r="2" spans="1:21" s="31" customFormat="1" ht="18">
      <c r="A2" s="31" t="s">
        <v>101</v>
      </c>
      <c r="B2" s="32">
        <v>-4</v>
      </c>
      <c r="C2" s="32">
        <v>-3</v>
      </c>
      <c r="D2" s="32">
        <v>-2</v>
      </c>
      <c r="E2" s="32">
        <v>-1</v>
      </c>
      <c r="F2" s="32">
        <v>0</v>
      </c>
      <c r="G2" s="32">
        <v>1</v>
      </c>
      <c r="H2" s="32">
        <v>2</v>
      </c>
      <c r="I2" s="32">
        <v>3</v>
      </c>
      <c r="J2" s="32">
        <v>4</v>
      </c>
      <c r="K2" s="32">
        <v>5</v>
      </c>
      <c r="L2" s="32">
        <v>6</v>
      </c>
      <c r="M2" s="32">
        <v>7</v>
      </c>
      <c r="N2" s="32">
        <v>8</v>
      </c>
      <c r="O2" s="32">
        <v>9</v>
      </c>
      <c r="P2" s="32">
        <v>10</v>
      </c>
      <c r="Q2" s="32">
        <v>11</v>
      </c>
      <c r="R2" s="32">
        <v>12</v>
      </c>
      <c r="S2" s="32">
        <v>13</v>
      </c>
      <c r="T2" s="32">
        <v>14</v>
      </c>
      <c r="U2" s="32">
        <v>15</v>
      </c>
    </row>
    <row r="3" spans="1:21" s="33" customFormat="1" ht="18">
      <c r="A3" s="33" t="s">
        <v>134</v>
      </c>
      <c r="B3" s="48">
        <f>SUM(B4:B7)</f>
        <v>0</v>
      </c>
      <c r="C3" s="48">
        <f t="shared" ref="C3:S3" si="0">SUM(C4:C7)</f>
        <v>200</v>
      </c>
      <c r="D3" s="48">
        <f t="shared" si="0"/>
        <v>200</v>
      </c>
      <c r="E3" s="48">
        <f t="shared" si="0"/>
        <v>200</v>
      </c>
      <c r="F3" s="48">
        <f t="shared" si="0"/>
        <v>50</v>
      </c>
      <c r="G3" s="48">
        <f t="shared" si="0"/>
        <v>50</v>
      </c>
      <c r="H3" s="48">
        <f t="shared" si="0"/>
        <v>50</v>
      </c>
      <c r="I3" s="48">
        <f t="shared" si="0"/>
        <v>50</v>
      </c>
      <c r="J3" s="48">
        <f t="shared" si="0"/>
        <v>50</v>
      </c>
      <c r="K3" s="48">
        <f t="shared" si="0"/>
        <v>50</v>
      </c>
      <c r="L3" s="48">
        <f t="shared" si="0"/>
        <v>0</v>
      </c>
      <c r="M3" s="48">
        <f t="shared" si="0"/>
        <v>0</v>
      </c>
      <c r="N3" s="48">
        <f t="shared" si="0"/>
        <v>0</v>
      </c>
      <c r="O3" s="48">
        <f t="shared" si="0"/>
        <v>0</v>
      </c>
      <c r="P3" s="48">
        <f t="shared" si="0"/>
        <v>0</v>
      </c>
      <c r="Q3" s="48">
        <f t="shared" si="0"/>
        <v>0</v>
      </c>
      <c r="R3" s="48">
        <f t="shared" si="0"/>
        <v>0</v>
      </c>
      <c r="S3" s="48">
        <f t="shared" si="0"/>
        <v>0</v>
      </c>
      <c r="T3" s="48">
        <f>SUM(T4:T7)</f>
        <v>0</v>
      </c>
      <c r="U3" s="48">
        <f>SUM(U4:U7)</f>
        <v>0</v>
      </c>
    </row>
    <row r="4" spans="1:21">
      <c r="A4" s="8" t="s">
        <v>131</v>
      </c>
      <c r="C4">
        <v>200</v>
      </c>
      <c r="D4">
        <v>200</v>
      </c>
      <c r="E4">
        <v>100</v>
      </c>
    </row>
    <row r="5" spans="1:21">
      <c r="A5" s="8" t="s">
        <v>132</v>
      </c>
      <c r="E5">
        <v>100</v>
      </c>
    </row>
    <row r="6" spans="1:21">
      <c r="A6" s="8" t="s">
        <v>133</v>
      </c>
      <c r="F6">
        <v>50</v>
      </c>
      <c r="G6">
        <v>50</v>
      </c>
      <c r="H6">
        <v>50</v>
      </c>
      <c r="I6">
        <v>50</v>
      </c>
      <c r="J6">
        <v>50</v>
      </c>
      <c r="K6">
        <v>50</v>
      </c>
    </row>
  </sheetData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D68"/>
  <sheetViews>
    <sheetView workbookViewId="0">
      <selection activeCell="B26" sqref="B26"/>
    </sheetView>
  </sheetViews>
  <sheetFormatPr defaultRowHeight="14.5"/>
  <cols>
    <col min="1" max="1" width="13" customWidth="1"/>
    <col min="2" max="2" width="15.54296875" customWidth="1"/>
    <col min="3" max="3" width="24.7265625" customWidth="1"/>
    <col min="4" max="4" width="6.453125" customWidth="1"/>
    <col min="5" max="30" width="11.7265625" customWidth="1"/>
  </cols>
  <sheetData>
    <row r="1" spans="1:30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ht="29">
      <c r="A2" s="1" t="s">
        <v>1</v>
      </c>
      <c r="B2" s="2" t="s">
        <v>2</v>
      </c>
      <c r="C2" s="1" t="s">
        <v>3</v>
      </c>
      <c r="D2" s="1" t="s">
        <v>4</v>
      </c>
      <c r="E2" s="3">
        <v>2015</v>
      </c>
      <c r="F2" s="3">
        <v>2016</v>
      </c>
      <c r="G2" s="3">
        <v>2017</v>
      </c>
      <c r="H2" s="3">
        <v>2018</v>
      </c>
      <c r="I2" s="3">
        <v>2019</v>
      </c>
      <c r="J2" s="3">
        <v>2020</v>
      </c>
      <c r="K2" s="3">
        <v>2021</v>
      </c>
      <c r="L2" s="3">
        <v>2022</v>
      </c>
      <c r="M2" s="3">
        <v>2023</v>
      </c>
      <c r="N2" s="3">
        <v>2024</v>
      </c>
      <c r="O2" s="3">
        <v>2025</v>
      </c>
      <c r="P2" s="3">
        <v>2026</v>
      </c>
      <c r="Q2" s="3">
        <v>2027</v>
      </c>
      <c r="R2" s="3">
        <v>2028</v>
      </c>
      <c r="S2" s="3">
        <v>2029</v>
      </c>
      <c r="T2" s="3">
        <v>2030</v>
      </c>
      <c r="U2" s="3">
        <v>2031</v>
      </c>
      <c r="V2" s="3">
        <v>2032</v>
      </c>
      <c r="W2" s="3">
        <v>2033</v>
      </c>
      <c r="X2" s="3">
        <v>2034</v>
      </c>
      <c r="Y2" s="3">
        <v>2035</v>
      </c>
      <c r="Z2" s="3">
        <v>2036</v>
      </c>
      <c r="AA2" s="3">
        <v>2037</v>
      </c>
      <c r="AB2" s="3">
        <v>2038</v>
      </c>
      <c r="AC2" s="3">
        <v>2039</v>
      </c>
      <c r="AD2" s="3">
        <v>2040</v>
      </c>
    </row>
    <row r="3" spans="1:30">
      <c r="A3" s="4">
        <v>900</v>
      </c>
      <c r="B3" s="5" t="s">
        <v>5</v>
      </c>
      <c r="C3" s="5" t="s">
        <v>6</v>
      </c>
      <c r="D3" s="4" t="s">
        <v>6</v>
      </c>
      <c r="E3" s="6" t="s">
        <v>6</v>
      </c>
      <c r="F3" s="6" t="s">
        <v>6</v>
      </c>
      <c r="G3" s="6" t="s">
        <v>6</v>
      </c>
      <c r="H3" s="6" t="s">
        <v>6</v>
      </c>
      <c r="I3" s="6" t="s">
        <v>6</v>
      </c>
      <c r="J3" s="6" t="s">
        <v>6</v>
      </c>
      <c r="K3" s="6" t="s">
        <v>6</v>
      </c>
      <c r="L3" s="6" t="s">
        <v>6</v>
      </c>
      <c r="M3" s="6" t="s">
        <v>6</v>
      </c>
      <c r="N3" s="6" t="s">
        <v>6</v>
      </c>
      <c r="O3" s="6" t="s">
        <v>6</v>
      </c>
      <c r="P3" s="6" t="s">
        <v>6</v>
      </c>
      <c r="Q3" s="6" t="s">
        <v>6</v>
      </c>
      <c r="R3" s="6" t="s">
        <v>6</v>
      </c>
      <c r="S3" s="6" t="s">
        <v>6</v>
      </c>
      <c r="T3" s="6" t="s">
        <v>6</v>
      </c>
      <c r="U3" s="6" t="s">
        <v>6</v>
      </c>
      <c r="V3" s="6" t="s">
        <v>6</v>
      </c>
      <c r="W3" s="6" t="s">
        <v>6</v>
      </c>
      <c r="X3" s="6" t="s">
        <v>6</v>
      </c>
      <c r="Y3" s="6" t="s">
        <v>6</v>
      </c>
      <c r="Z3" s="6" t="s">
        <v>6</v>
      </c>
      <c r="AA3" s="6" t="s">
        <v>6</v>
      </c>
      <c r="AB3" s="6" t="s">
        <v>6</v>
      </c>
      <c r="AC3" s="6" t="s">
        <v>6</v>
      </c>
      <c r="AD3" s="6" t="s">
        <v>6</v>
      </c>
    </row>
    <row r="4" spans="1:30">
      <c r="A4" s="4">
        <v>935</v>
      </c>
      <c r="B4" s="5" t="s">
        <v>7</v>
      </c>
      <c r="C4" s="5" t="s">
        <v>6</v>
      </c>
      <c r="D4" s="4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  <c r="N4" s="6" t="s">
        <v>6</v>
      </c>
      <c r="O4" s="6" t="s">
        <v>6</v>
      </c>
      <c r="P4" s="6" t="s">
        <v>6</v>
      </c>
      <c r="Q4" s="6" t="s">
        <v>6</v>
      </c>
      <c r="R4" s="6" t="s">
        <v>6</v>
      </c>
      <c r="S4" s="6" t="s">
        <v>6</v>
      </c>
      <c r="T4" s="6" t="s">
        <v>6</v>
      </c>
      <c r="U4" s="6" t="s">
        <v>6</v>
      </c>
      <c r="V4" s="6" t="s">
        <v>6</v>
      </c>
      <c r="W4" s="6" t="s">
        <v>6</v>
      </c>
      <c r="X4" s="6" t="s">
        <v>6</v>
      </c>
      <c r="Y4" s="6" t="s">
        <v>6</v>
      </c>
      <c r="Z4" s="6" t="s">
        <v>6</v>
      </c>
      <c r="AA4" s="6" t="s">
        <v>6</v>
      </c>
      <c r="AB4" s="6" t="s">
        <v>6</v>
      </c>
      <c r="AC4" s="6" t="s">
        <v>6</v>
      </c>
      <c r="AD4" s="6" t="s">
        <v>6</v>
      </c>
    </row>
    <row r="5" spans="1:30">
      <c r="A5" s="4">
        <v>906</v>
      </c>
      <c r="B5" s="5" t="s">
        <v>8</v>
      </c>
      <c r="C5" s="5" t="s">
        <v>6</v>
      </c>
      <c r="D5" s="4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6</v>
      </c>
      <c r="Q5" s="6" t="s">
        <v>6</v>
      </c>
      <c r="R5" s="6" t="s">
        <v>6</v>
      </c>
      <c r="S5" s="6" t="s">
        <v>6</v>
      </c>
      <c r="T5" s="6" t="s">
        <v>6</v>
      </c>
      <c r="U5" s="6" t="s">
        <v>6</v>
      </c>
      <c r="V5" s="6" t="s">
        <v>6</v>
      </c>
      <c r="W5" s="6" t="s">
        <v>6</v>
      </c>
      <c r="X5" s="6" t="s">
        <v>6</v>
      </c>
      <c r="Y5" s="6" t="s">
        <v>6</v>
      </c>
      <c r="Z5" s="6" t="s">
        <v>6</v>
      </c>
      <c r="AA5" s="6" t="s">
        <v>6</v>
      </c>
      <c r="AB5" s="6" t="s">
        <v>6</v>
      </c>
      <c r="AC5" s="6" t="s">
        <v>6</v>
      </c>
      <c r="AD5" s="6" t="s">
        <v>6</v>
      </c>
    </row>
    <row r="6" spans="1:30">
      <c r="A6" s="4">
        <v>392</v>
      </c>
      <c r="B6" s="5" t="s">
        <v>9</v>
      </c>
      <c r="C6" s="5" t="s">
        <v>10</v>
      </c>
      <c r="D6" s="4" t="s">
        <v>11</v>
      </c>
      <c r="E6" s="7">
        <v>5395.5370000000003</v>
      </c>
      <c r="F6" s="7">
        <v>5343.4160000000002</v>
      </c>
      <c r="G6" s="7">
        <v>5293.1769999999997</v>
      </c>
      <c r="H6" s="7">
        <v>5245.0739999999996</v>
      </c>
      <c r="I6" s="7">
        <v>5195.9049999999997</v>
      </c>
      <c r="J6" s="7">
        <v>5143.2780000000002</v>
      </c>
      <c r="K6" s="7">
        <v>5088.05</v>
      </c>
      <c r="L6" s="7">
        <v>5040.6989999999996</v>
      </c>
      <c r="M6" s="7">
        <v>4998.2780000000002</v>
      </c>
      <c r="N6" s="7">
        <v>4957.8440000000001</v>
      </c>
      <c r="O6" s="7">
        <v>4916.7960000000003</v>
      </c>
      <c r="P6" s="7">
        <v>4884.701</v>
      </c>
      <c r="Q6" s="7">
        <v>4854.2110000000002</v>
      </c>
      <c r="R6" s="7">
        <v>4824.7939999999999</v>
      </c>
      <c r="S6" s="7">
        <v>4796.6509999999998</v>
      </c>
      <c r="T6" s="7">
        <v>4769.7700000000004</v>
      </c>
      <c r="U6" s="7">
        <v>4753.5309999999999</v>
      </c>
      <c r="V6" s="7">
        <v>4737.6509999999998</v>
      </c>
      <c r="W6" s="7">
        <v>4721.8999999999996</v>
      </c>
      <c r="X6" s="7">
        <v>4705.7889999999998</v>
      </c>
      <c r="Y6" s="7">
        <v>4688.8680000000004</v>
      </c>
      <c r="Z6" s="7">
        <v>4679.5</v>
      </c>
      <c r="AA6" s="7">
        <v>4669.4440000000004</v>
      </c>
      <c r="AB6" s="7">
        <v>4658.2299999999996</v>
      </c>
      <c r="AC6" s="7">
        <v>4645.26</v>
      </c>
      <c r="AD6" s="7">
        <v>4629.7969999999996</v>
      </c>
    </row>
    <row r="7" spans="1:30">
      <c r="A7" s="4">
        <v>392</v>
      </c>
      <c r="B7" s="5" t="s">
        <v>9</v>
      </c>
      <c r="C7" s="5" t="s">
        <v>10</v>
      </c>
      <c r="D7" s="4" t="s">
        <v>12</v>
      </c>
      <c r="E7" s="7">
        <v>5559.9489999999996</v>
      </c>
      <c r="F7" s="7">
        <v>5542.3389999999999</v>
      </c>
      <c r="G7" s="7">
        <v>5516.7979999999998</v>
      </c>
      <c r="H7" s="7">
        <v>5482.7879999999996</v>
      </c>
      <c r="I7" s="7">
        <v>5442.2489999999998</v>
      </c>
      <c r="J7" s="7">
        <v>5398.7430000000004</v>
      </c>
      <c r="K7" s="7">
        <v>5359.1750000000002</v>
      </c>
      <c r="L7" s="7">
        <v>5312.6629999999996</v>
      </c>
      <c r="M7" s="7">
        <v>5259.991</v>
      </c>
      <c r="N7" s="7">
        <v>5203.576</v>
      </c>
      <c r="O7" s="7">
        <v>5147.0550000000003</v>
      </c>
      <c r="P7" s="7">
        <v>5099.1149999999998</v>
      </c>
      <c r="Q7" s="7">
        <v>5052.3180000000002</v>
      </c>
      <c r="R7" s="7">
        <v>5007.3599999999997</v>
      </c>
      <c r="S7" s="7">
        <v>4963.9219999999996</v>
      </c>
      <c r="T7" s="7">
        <v>4920.9970000000003</v>
      </c>
      <c r="U7" s="7">
        <v>4886.7569999999996</v>
      </c>
      <c r="V7" s="7">
        <v>4855.3720000000003</v>
      </c>
      <c r="W7" s="7">
        <v>4826.8879999999999</v>
      </c>
      <c r="X7" s="7">
        <v>4800.3980000000001</v>
      </c>
      <c r="Y7" s="7">
        <v>4774.3050000000003</v>
      </c>
      <c r="Z7" s="7">
        <v>4756.223</v>
      </c>
      <c r="AA7" s="7">
        <v>4739.6310000000003</v>
      </c>
      <c r="AB7" s="7">
        <v>4724.2290000000003</v>
      </c>
      <c r="AC7" s="7">
        <v>4709.277</v>
      </c>
      <c r="AD7" s="7">
        <v>4693.6509999999998</v>
      </c>
    </row>
    <row r="8" spans="1:30">
      <c r="A8" s="4">
        <v>392</v>
      </c>
      <c r="B8" s="5" t="s">
        <v>9</v>
      </c>
      <c r="C8" s="5" t="s">
        <v>10</v>
      </c>
      <c r="D8" s="4" t="s">
        <v>13</v>
      </c>
      <c r="E8" s="7">
        <v>5670.0230000000001</v>
      </c>
      <c r="F8" s="7">
        <v>5639.4709999999995</v>
      </c>
      <c r="G8" s="7">
        <v>5618.7039999999997</v>
      </c>
      <c r="H8" s="7">
        <v>5603.8419999999996</v>
      </c>
      <c r="I8" s="7">
        <v>5587.2460000000001</v>
      </c>
      <c r="J8" s="7">
        <v>5562.88</v>
      </c>
      <c r="K8" s="7">
        <v>5543.3829999999998</v>
      </c>
      <c r="L8" s="7">
        <v>5517.4859999999999</v>
      </c>
      <c r="M8" s="7">
        <v>5485.3280000000004</v>
      </c>
      <c r="N8" s="7">
        <v>5447.0349999999999</v>
      </c>
      <c r="O8" s="7">
        <v>5401.9539999999997</v>
      </c>
      <c r="P8" s="7">
        <v>5361.6760000000004</v>
      </c>
      <c r="Q8" s="7">
        <v>5314.9679999999998</v>
      </c>
      <c r="R8" s="7">
        <v>5262.759</v>
      </c>
      <c r="S8" s="7">
        <v>5207.2550000000001</v>
      </c>
      <c r="T8" s="7">
        <v>5150.54</v>
      </c>
      <c r="U8" s="7">
        <v>5105.4639999999999</v>
      </c>
      <c r="V8" s="7">
        <v>5060.4949999999999</v>
      </c>
      <c r="W8" s="7">
        <v>5015.259</v>
      </c>
      <c r="X8" s="7">
        <v>4969.7749999999996</v>
      </c>
      <c r="Y8" s="7">
        <v>4924.7</v>
      </c>
      <c r="Z8" s="7">
        <v>4893.1239999999998</v>
      </c>
      <c r="AA8" s="7">
        <v>4863.4570000000003</v>
      </c>
      <c r="AB8" s="7">
        <v>4834.7920000000004</v>
      </c>
      <c r="AC8" s="7">
        <v>4806.4229999999998</v>
      </c>
      <c r="AD8" s="7">
        <v>4778.174</v>
      </c>
    </row>
    <row r="9" spans="1:30">
      <c r="A9" s="4">
        <v>392</v>
      </c>
      <c r="B9" s="5" t="s">
        <v>9</v>
      </c>
      <c r="C9" s="5" t="s">
        <v>10</v>
      </c>
      <c r="D9" s="4" t="s">
        <v>14</v>
      </c>
      <c r="E9" s="7">
        <v>5979.6970000000001</v>
      </c>
      <c r="F9" s="7">
        <v>5940.74</v>
      </c>
      <c r="G9" s="7">
        <v>5882.076</v>
      </c>
      <c r="H9" s="7">
        <v>5811.97</v>
      </c>
      <c r="I9" s="7">
        <v>5745.6170000000002</v>
      </c>
      <c r="J9" s="7">
        <v>5692.2179999999998</v>
      </c>
      <c r="K9" s="7">
        <v>5661.0150000000003</v>
      </c>
      <c r="L9" s="7">
        <v>5641.0050000000001</v>
      </c>
      <c r="M9" s="7">
        <v>5626.9780000000001</v>
      </c>
      <c r="N9" s="7">
        <v>5610.3990000000003</v>
      </c>
      <c r="O9" s="7">
        <v>5585.5140000000001</v>
      </c>
      <c r="P9" s="7">
        <v>5565.81</v>
      </c>
      <c r="Q9" s="7">
        <v>5540.8519999999999</v>
      </c>
      <c r="R9" s="7">
        <v>5509.3919999999998</v>
      </c>
      <c r="S9" s="7">
        <v>5470.87</v>
      </c>
      <c r="T9" s="7">
        <v>5424.9870000000001</v>
      </c>
      <c r="U9" s="7">
        <v>5384.5150000000003</v>
      </c>
      <c r="V9" s="7">
        <v>5337.97</v>
      </c>
      <c r="W9" s="7">
        <v>5286.0950000000003</v>
      </c>
      <c r="X9" s="7">
        <v>5230.93</v>
      </c>
      <c r="Y9" s="7">
        <v>5173.9769999999999</v>
      </c>
      <c r="Z9" s="7">
        <v>5128.4110000000001</v>
      </c>
      <c r="AA9" s="7">
        <v>5083.3180000000002</v>
      </c>
      <c r="AB9" s="7">
        <v>5038.3100000000004</v>
      </c>
      <c r="AC9" s="7">
        <v>4993.348</v>
      </c>
      <c r="AD9" s="7">
        <v>4948.4570000000003</v>
      </c>
    </row>
    <row r="10" spans="1:30">
      <c r="A10" s="4">
        <v>392</v>
      </c>
      <c r="B10" s="5" t="s">
        <v>9</v>
      </c>
      <c r="C10" s="5" t="s">
        <v>10</v>
      </c>
      <c r="D10" s="4" t="s">
        <v>15</v>
      </c>
      <c r="E10" s="7">
        <v>6139.0479999999998</v>
      </c>
      <c r="F10" s="7">
        <v>6091.5039999999999</v>
      </c>
      <c r="G10" s="7">
        <v>6070.2759999999998</v>
      </c>
      <c r="H10" s="7">
        <v>6062.9279999999999</v>
      </c>
      <c r="I10" s="7">
        <v>6049.7049999999999</v>
      </c>
      <c r="J10" s="7">
        <v>6017.7269999999999</v>
      </c>
      <c r="K10" s="7">
        <v>5976.4769999999999</v>
      </c>
      <c r="L10" s="7">
        <v>5916.79</v>
      </c>
      <c r="M10" s="7">
        <v>5847.2979999999998</v>
      </c>
      <c r="N10" s="7">
        <v>5782.7330000000002</v>
      </c>
      <c r="O10" s="7">
        <v>5731.3959999999997</v>
      </c>
      <c r="P10" s="7">
        <v>5698.4170000000004</v>
      </c>
      <c r="Q10" s="7">
        <v>5677.65</v>
      </c>
      <c r="R10" s="7">
        <v>5664.0219999999999</v>
      </c>
      <c r="S10" s="7">
        <v>5648.732</v>
      </c>
      <c r="T10" s="7">
        <v>5625.4579999999996</v>
      </c>
      <c r="U10" s="7">
        <v>5604.2070000000003</v>
      </c>
      <c r="V10" s="7">
        <v>5578.4459999999999</v>
      </c>
      <c r="W10" s="7">
        <v>5547.232</v>
      </c>
      <c r="X10" s="7">
        <v>5509.9059999999999</v>
      </c>
      <c r="Y10" s="7">
        <v>5465.6790000000001</v>
      </c>
      <c r="Z10" s="7">
        <v>5423.3249999999998</v>
      </c>
      <c r="AA10" s="7">
        <v>5375.6959999999999</v>
      </c>
      <c r="AB10" s="7">
        <v>5323.991</v>
      </c>
      <c r="AC10" s="7">
        <v>5270.259</v>
      </c>
      <c r="AD10" s="7">
        <v>5215.4579999999996</v>
      </c>
    </row>
    <row r="11" spans="1:30">
      <c r="A11" s="4">
        <v>392</v>
      </c>
      <c r="B11" s="5" t="s">
        <v>9</v>
      </c>
      <c r="C11" s="5" t="s">
        <v>10</v>
      </c>
      <c r="D11" s="4" t="s">
        <v>16</v>
      </c>
      <c r="E11" s="7">
        <v>6756.33</v>
      </c>
      <c r="F11" s="7">
        <v>6613.9660000000003</v>
      </c>
      <c r="G11" s="7">
        <v>6477.8890000000001</v>
      </c>
      <c r="H11" s="7">
        <v>6353.8530000000001</v>
      </c>
      <c r="I11" s="7">
        <v>6250.3580000000002</v>
      </c>
      <c r="J11" s="7">
        <v>6171.5709999999999</v>
      </c>
      <c r="K11" s="7">
        <v>6123.4650000000001</v>
      </c>
      <c r="L11" s="7">
        <v>6102.2439999999997</v>
      </c>
      <c r="M11" s="7">
        <v>6095.3230000000003</v>
      </c>
      <c r="N11" s="7">
        <v>6082.6790000000001</v>
      </c>
      <c r="O11" s="7">
        <v>6051.5</v>
      </c>
      <c r="P11" s="7">
        <v>6010.1769999999997</v>
      </c>
      <c r="Q11" s="7">
        <v>5950.8810000000003</v>
      </c>
      <c r="R11" s="7">
        <v>5881.7780000000002</v>
      </c>
      <c r="S11" s="7">
        <v>5817.4480000000003</v>
      </c>
      <c r="T11" s="7">
        <v>5766.5429999999997</v>
      </c>
      <c r="U11" s="7">
        <v>5733.7520000000004</v>
      </c>
      <c r="V11" s="7">
        <v>5713.2550000000001</v>
      </c>
      <c r="W11" s="7">
        <v>5699.7370000000001</v>
      </c>
      <c r="X11" s="7">
        <v>5684.4750000000004</v>
      </c>
      <c r="Y11" s="7">
        <v>5661.6139999999996</v>
      </c>
      <c r="Z11" s="7">
        <v>5640.1450000000004</v>
      </c>
      <c r="AA11" s="7">
        <v>5614.3230000000003</v>
      </c>
      <c r="AB11" s="7">
        <v>5583.1220000000003</v>
      </c>
      <c r="AC11" s="7">
        <v>5546.0649999999996</v>
      </c>
      <c r="AD11" s="7">
        <v>5502.78</v>
      </c>
    </row>
    <row r="12" spans="1:30">
      <c r="A12" s="4">
        <v>392</v>
      </c>
      <c r="B12" s="5" t="s">
        <v>9</v>
      </c>
      <c r="C12" s="5" t="s">
        <v>10</v>
      </c>
      <c r="D12" s="4" t="s">
        <v>17</v>
      </c>
      <c r="E12" s="7">
        <v>7609.4380000000001</v>
      </c>
      <c r="F12" s="7">
        <v>7447.3620000000001</v>
      </c>
      <c r="G12" s="7">
        <v>7276.8370000000004</v>
      </c>
      <c r="H12" s="7">
        <v>7102.4650000000001</v>
      </c>
      <c r="I12" s="7">
        <v>6933.2430000000004</v>
      </c>
      <c r="J12" s="7">
        <v>6775.0370000000003</v>
      </c>
      <c r="K12" s="7">
        <v>6632.5829999999996</v>
      </c>
      <c r="L12" s="7">
        <v>6496.9179999999997</v>
      </c>
      <c r="M12" s="7">
        <v>6373.6930000000002</v>
      </c>
      <c r="N12" s="7">
        <v>6271.027</v>
      </c>
      <c r="O12" s="7">
        <v>6192.7780000000002</v>
      </c>
      <c r="P12" s="7">
        <v>6144.9610000000002</v>
      </c>
      <c r="Q12" s="7">
        <v>6124.2340000000004</v>
      </c>
      <c r="R12" s="7">
        <v>6117.6970000000001</v>
      </c>
      <c r="S12" s="7">
        <v>6105.192</v>
      </c>
      <c r="T12" s="7">
        <v>6073.9639999999999</v>
      </c>
      <c r="U12" s="7">
        <v>6033.192</v>
      </c>
      <c r="V12" s="7">
        <v>5974.3990000000003</v>
      </c>
      <c r="W12" s="7">
        <v>5905.5990000000002</v>
      </c>
      <c r="X12" s="7">
        <v>5841.3739999999998</v>
      </c>
      <c r="Y12" s="7">
        <v>5790.4960000000001</v>
      </c>
      <c r="Z12" s="7">
        <v>5757.9030000000002</v>
      </c>
      <c r="AA12" s="7">
        <v>5737.5190000000002</v>
      </c>
      <c r="AB12" s="7">
        <v>5724.0609999999997</v>
      </c>
      <c r="AC12" s="7">
        <v>5708.9809999999998</v>
      </c>
      <c r="AD12" s="7">
        <v>5686.549</v>
      </c>
    </row>
    <row r="13" spans="1:30">
      <c r="A13" s="4">
        <v>392</v>
      </c>
      <c r="B13" s="5" t="s">
        <v>9</v>
      </c>
      <c r="C13" s="5" t="s">
        <v>10</v>
      </c>
      <c r="D13" s="4" t="s">
        <v>18</v>
      </c>
      <c r="E13" s="7">
        <v>8480.8230000000003</v>
      </c>
      <c r="F13" s="7">
        <v>8221.6479999999992</v>
      </c>
      <c r="G13" s="7">
        <v>8036.0739999999996</v>
      </c>
      <c r="H13" s="7">
        <v>7900.5249999999996</v>
      </c>
      <c r="I13" s="7">
        <v>7768.451</v>
      </c>
      <c r="J13" s="7">
        <v>7611.1</v>
      </c>
      <c r="K13" s="7">
        <v>7448.9690000000001</v>
      </c>
      <c r="L13" s="7">
        <v>7279.1149999999998</v>
      </c>
      <c r="M13" s="7">
        <v>7105.99</v>
      </c>
      <c r="N13" s="7">
        <v>6938.0529999999999</v>
      </c>
      <c r="O13" s="7">
        <v>6780.6930000000002</v>
      </c>
      <c r="P13" s="7">
        <v>6638.8410000000003</v>
      </c>
      <c r="Q13" s="7">
        <v>6504.0870000000004</v>
      </c>
      <c r="R13" s="7">
        <v>6381.6689999999999</v>
      </c>
      <c r="S13" s="7">
        <v>6279.4579999999996</v>
      </c>
      <c r="T13" s="7">
        <v>6201.27</v>
      </c>
      <c r="U13" s="7">
        <v>6154.116</v>
      </c>
      <c r="V13" s="7">
        <v>6133.9489999999996</v>
      </c>
      <c r="W13" s="7">
        <v>6127.7150000000001</v>
      </c>
      <c r="X13" s="7">
        <v>6115.2709999999997</v>
      </c>
      <c r="Y13" s="7">
        <v>6083.9409999999998</v>
      </c>
      <c r="Z13" s="7">
        <v>6043.4129999999996</v>
      </c>
      <c r="AA13" s="7">
        <v>5984.9080000000004</v>
      </c>
      <c r="AB13" s="7">
        <v>5916.42</v>
      </c>
      <c r="AC13" s="7">
        <v>5852.5879999999997</v>
      </c>
      <c r="AD13" s="7">
        <v>5802.165</v>
      </c>
    </row>
    <row r="14" spans="1:30">
      <c r="A14" s="4">
        <v>392</v>
      </c>
      <c r="B14" s="5" t="s">
        <v>9</v>
      </c>
      <c r="C14" s="5" t="s">
        <v>10</v>
      </c>
      <c r="D14" s="4" t="s">
        <v>19</v>
      </c>
      <c r="E14" s="7">
        <v>10046.01</v>
      </c>
      <c r="F14" s="7">
        <v>9929.3109999999997</v>
      </c>
      <c r="G14" s="7">
        <v>9625.9310000000005</v>
      </c>
      <c r="H14" s="7">
        <v>9207.83</v>
      </c>
      <c r="I14" s="7">
        <v>8794.3369999999995</v>
      </c>
      <c r="J14" s="7">
        <v>8460.9840000000004</v>
      </c>
      <c r="K14" s="7">
        <v>8202.7000000000007</v>
      </c>
      <c r="L14" s="7">
        <v>8018.3360000000002</v>
      </c>
      <c r="M14" s="7">
        <v>7884.183</v>
      </c>
      <c r="N14" s="7">
        <v>7753.5010000000002</v>
      </c>
      <c r="O14" s="7">
        <v>7597.3450000000003</v>
      </c>
      <c r="P14" s="7">
        <v>7435.9920000000002</v>
      </c>
      <c r="Q14" s="7">
        <v>7267.4849999999997</v>
      </c>
      <c r="R14" s="7">
        <v>7095.7640000000001</v>
      </c>
      <c r="S14" s="7">
        <v>6928.9179999999997</v>
      </c>
      <c r="T14" s="7">
        <v>6772.2219999999998</v>
      </c>
      <c r="U14" s="7">
        <v>6631.4409999999998</v>
      </c>
      <c r="V14" s="7">
        <v>6497.7569999999996</v>
      </c>
      <c r="W14" s="7">
        <v>6376.1779999999999</v>
      </c>
      <c r="X14" s="7">
        <v>6274.5159999999996</v>
      </c>
      <c r="Y14" s="7">
        <v>6196.6310000000003</v>
      </c>
      <c r="Z14" s="7">
        <v>6149.82</v>
      </c>
      <c r="AA14" s="7">
        <v>6129.9870000000001</v>
      </c>
      <c r="AB14" s="7">
        <v>6124.067</v>
      </c>
      <c r="AC14" s="7">
        <v>6112.0389999999998</v>
      </c>
      <c r="AD14" s="7">
        <v>6081.2820000000002</v>
      </c>
    </row>
    <row r="15" spans="1:30">
      <c r="A15" s="4">
        <v>392</v>
      </c>
      <c r="B15" s="5" t="s">
        <v>9</v>
      </c>
      <c r="C15" s="5" t="s">
        <v>10</v>
      </c>
      <c r="D15" s="4" t="s">
        <v>20</v>
      </c>
      <c r="E15" s="7">
        <v>8721.8729999999996</v>
      </c>
      <c r="F15" s="7">
        <v>9005.2790000000005</v>
      </c>
      <c r="G15" s="7">
        <v>9359.1679999999997</v>
      </c>
      <c r="H15" s="7">
        <v>9709.5429999999997</v>
      </c>
      <c r="I15" s="7">
        <v>9942.741</v>
      </c>
      <c r="J15" s="7">
        <v>9990.8269999999993</v>
      </c>
      <c r="K15" s="7">
        <v>9873.61</v>
      </c>
      <c r="L15" s="7">
        <v>9572.3330000000005</v>
      </c>
      <c r="M15" s="7">
        <v>9158.4940000000006</v>
      </c>
      <c r="N15" s="7">
        <v>8749.7950000000001</v>
      </c>
      <c r="O15" s="7">
        <v>8420.3739999999998</v>
      </c>
      <c r="P15" s="7">
        <v>8164.3630000000003</v>
      </c>
      <c r="Q15" s="7">
        <v>7982.1170000000002</v>
      </c>
      <c r="R15" s="7">
        <v>7849.5720000000001</v>
      </c>
      <c r="S15" s="7">
        <v>7720.1750000000002</v>
      </c>
      <c r="T15" s="7">
        <v>7565.2749999999996</v>
      </c>
      <c r="U15" s="7">
        <v>7405.3639999999996</v>
      </c>
      <c r="V15" s="7">
        <v>7238.5230000000001</v>
      </c>
      <c r="W15" s="7">
        <v>7068.4780000000001</v>
      </c>
      <c r="X15" s="7">
        <v>6903.1549999999997</v>
      </c>
      <c r="Y15" s="7">
        <v>6747.7420000000002</v>
      </c>
      <c r="Z15" s="7">
        <v>6607.8609999999999</v>
      </c>
      <c r="AA15" s="7">
        <v>6475.1549999999997</v>
      </c>
      <c r="AB15" s="7">
        <v>6354.634</v>
      </c>
      <c r="AC15" s="7">
        <v>6254.1689999999999</v>
      </c>
      <c r="AD15" s="7">
        <v>6177.5630000000001</v>
      </c>
    </row>
    <row r="16" spans="1:30">
      <c r="A16" s="4">
        <v>392</v>
      </c>
      <c r="B16" s="5" t="s">
        <v>9</v>
      </c>
      <c r="C16" s="5" t="s">
        <v>10</v>
      </c>
      <c r="D16" s="4" t="s">
        <v>21</v>
      </c>
      <c r="E16" s="7">
        <v>7988.2250000000004</v>
      </c>
      <c r="F16" s="7">
        <v>8087.3249999999998</v>
      </c>
      <c r="G16" s="7">
        <v>8175.11</v>
      </c>
      <c r="H16" s="7">
        <v>8273.8230000000003</v>
      </c>
      <c r="I16" s="7">
        <v>8422.7029999999995</v>
      </c>
      <c r="J16" s="7">
        <v>8639.3050000000003</v>
      </c>
      <c r="K16" s="7">
        <v>8920.1419999999998</v>
      </c>
      <c r="L16" s="7">
        <v>9271.9629999999997</v>
      </c>
      <c r="M16" s="7">
        <v>9620.9920000000002</v>
      </c>
      <c r="N16" s="7">
        <v>9853.8070000000007</v>
      </c>
      <c r="O16" s="7">
        <v>9902.6090000000004</v>
      </c>
      <c r="P16" s="7">
        <v>9786.2630000000008</v>
      </c>
      <c r="Q16" s="7">
        <v>9488.8729999999996</v>
      </c>
      <c r="R16" s="7">
        <v>9080.6810000000005</v>
      </c>
      <c r="S16" s="7">
        <v>8677.6859999999997</v>
      </c>
      <c r="T16" s="7">
        <v>8352.9529999999995</v>
      </c>
      <c r="U16" s="7">
        <v>8100.8819999999996</v>
      </c>
      <c r="V16" s="7">
        <v>7921.7420000000002</v>
      </c>
      <c r="W16" s="7">
        <v>7791.2349999999997</v>
      </c>
      <c r="X16" s="7">
        <v>7663.4440000000004</v>
      </c>
      <c r="Y16" s="7">
        <v>7510.4110000000001</v>
      </c>
      <c r="Z16" s="7">
        <v>7352.1350000000002</v>
      </c>
      <c r="AA16" s="7">
        <v>7187.3450000000003</v>
      </c>
      <c r="AB16" s="7">
        <v>7019.5789999999997</v>
      </c>
      <c r="AC16" s="7">
        <v>6856.652</v>
      </c>
      <c r="AD16" s="7">
        <v>6703.683</v>
      </c>
    </row>
    <row r="17" spans="1:30">
      <c r="A17" s="4">
        <v>392</v>
      </c>
      <c r="B17" s="5" t="s">
        <v>9</v>
      </c>
      <c r="C17" s="5" t="s">
        <v>10</v>
      </c>
      <c r="D17" s="4" t="s">
        <v>22</v>
      </c>
      <c r="E17" s="7">
        <v>7660.9939999999997</v>
      </c>
      <c r="F17" s="7">
        <v>7592.4430000000002</v>
      </c>
      <c r="G17" s="7">
        <v>7604.835</v>
      </c>
      <c r="H17" s="7">
        <v>7676.3509999999997</v>
      </c>
      <c r="I17" s="7">
        <v>7771.2539999999999</v>
      </c>
      <c r="J17" s="7">
        <v>7866.8459999999995</v>
      </c>
      <c r="K17" s="7">
        <v>7963.9350000000004</v>
      </c>
      <c r="L17" s="7">
        <v>8051.2510000000002</v>
      </c>
      <c r="M17" s="7">
        <v>8150.8450000000003</v>
      </c>
      <c r="N17" s="7">
        <v>8300.8670000000002</v>
      </c>
      <c r="O17" s="7">
        <v>8517.8310000000001</v>
      </c>
      <c r="P17" s="7">
        <v>8795.7849999999999</v>
      </c>
      <c r="Q17" s="7">
        <v>9144.93</v>
      </c>
      <c r="R17" s="7">
        <v>9491.6350000000002</v>
      </c>
      <c r="S17" s="7">
        <v>9723.2579999999998</v>
      </c>
      <c r="T17" s="7">
        <v>9772.76</v>
      </c>
      <c r="U17" s="7">
        <v>9657.9609999999993</v>
      </c>
      <c r="V17" s="7">
        <v>9365.6080000000002</v>
      </c>
      <c r="W17" s="7">
        <v>8965.009</v>
      </c>
      <c r="X17" s="7">
        <v>8570.2479999999996</v>
      </c>
      <c r="Y17" s="7">
        <v>8252.8080000000009</v>
      </c>
      <c r="Z17" s="7">
        <v>8005.3050000000003</v>
      </c>
      <c r="AA17" s="7">
        <v>7829.6769999999997</v>
      </c>
      <c r="AB17" s="7">
        <v>7701.8469999999998</v>
      </c>
      <c r="AC17" s="7">
        <v>7576.97</v>
      </c>
      <c r="AD17" s="7">
        <v>7427.7780000000002</v>
      </c>
    </row>
    <row r="18" spans="1:30">
      <c r="A18" s="4">
        <v>392</v>
      </c>
      <c r="B18" s="5" t="s">
        <v>9</v>
      </c>
      <c r="C18" s="5" t="s">
        <v>10</v>
      </c>
      <c r="D18" s="4" t="s">
        <v>23</v>
      </c>
      <c r="E18" s="7">
        <v>8673.8590000000004</v>
      </c>
      <c r="F18" s="7">
        <v>8357.875</v>
      </c>
      <c r="G18" s="7">
        <v>8064.8450000000003</v>
      </c>
      <c r="H18" s="7">
        <v>7810.3630000000003</v>
      </c>
      <c r="I18" s="7">
        <v>7611.3770000000004</v>
      </c>
      <c r="J18" s="7">
        <v>7478.1660000000002</v>
      </c>
      <c r="K18" s="7">
        <v>7412.6220000000003</v>
      </c>
      <c r="L18" s="7">
        <v>7426.9489999999996</v>
      </c>
      <c r="M18" s="7">
        <v>7499.857</v>
      </c>
      <c r="N18" s="7">
        <v>7596.0680000000002</v>
      </c>
      <c r="O18" s="7">
        <v>7693.0119999999997</v>
      </c>
      <c r="P18" s="7">
        <v>7788.6310000000003</v>
      </c>
      <c r="Q18" s="7">
        <v>7875.8360000000002</v>
      </c>
      <c r="R18" s="7">
        <v>7976.2309999999998</v>
      </c>
      <c r="S18" s="7">
        <v>8126.83</v>
      </c>
      <c r="T18" s="7">
        <v>8343.3330000000005</v>
      </c>
      <c r="U18" s="7">
        <v>8618.2099999999991</v>
      </c>
      <c r="V18" s="7">
        <v>8963.6280000000006</v>
      </c>
      <c r="W18" s="7">
        <v>9306.7610000000004</v>
      </c>
      <c r="X18" s="7">
        <v>9536.518</v>
      </c>
      <c r="Y18" s="7">
        <v>9587.1110000000008</v>
      </c>
      <c r="Z18" s="7">
        <v>9474.02</v>
      </c>
      <c r="AA18" s="7">
        <v>9188.1170000000002</v>
      </c>
      <c r="AB18" s="7">
        <v>8797.9500000000007</v>
      </c>
      <c r="AC18" s="7">
        <v>8415.0239999999994</v>
      </c>
      <c r="AD18" s="7">
        <v>8108.4189999999999</v>
      </c>
    </row>
    <row r="19" spans="1:30">
      <c r="A19" s="4">
        <v>392</v>
      </c>
      <c r="B19" s="5" t="s">
        <v>9</v>
      </c>
      <c r="C19" s="5" t="s">
        <v>10</v>
      </c>
      <c r="D19" s="4" t="s">
        <v>24</v>
      </c>
      <c r="E19" s="7">
        <v>9627.2160000000003</v>
      </c>
      <c r="F19" s="7">
        <v>9560.5789999999997</v>
      </c>
      <c r="G19" s="7">
        <v>9340.0820000000003</v>
      </c>
      <c r="H19" s="7">
        <v>9016.4290000000001</v>
      </c>
      <c r="I19" s="7">
        <v>8671.0300000000007</v>
      </c>
      <c r="J19" s="7">
        <v>8356.2960000000003</v>
      </c>
      <c r="K19" s="7">
        <v>8055.4070000000002</v>
      </c>
      <c r="L19" s="7">
        <v>7777.4549999999999</v>
      </c>
      <c r="M19" s="7">
        <v>7536.2290000000003</v>
      </c>
      <c r="N19" s="7">
        <v>7348.4979999999996</v>
      </c>
      <c r="O19" s="7">
        <v>7225.0680000000002</v>
      </c>
      <c r="P19" s="7">
        <v>7164.8249999999998</v>
      </c>
      <c r="Q19" s="7">
        <v>7183.2219999999998</v>
      </c>
      <c r="R19" s="7">
        <v>7258.0510000000004</v>
      </c>
      <c r="S19" s="7">
        <v>7354.64</v>
      </c>
      <c r="T19" s="7">
        <v>7451.6440000000002</v>
      </c>
      <c r="U19" s="7">
        <v>7546.3540000000003</v>
      </c>
      <c r="V19" s="7">
        <v>7634.4250000000002</v>
      </c>
      <c r="W19" s="7">
        <v>7736.0789999999997</v>
      </c>
      <c r="X19" s="7">
        <v>7886.8450000000003</v>
      </c>
      <c r="Y19" s="7">
        <v>8101.9179999999997</v>
      </c>
      <c r="Z19" s="7">
        <v>8372.3389999999999</v>
      </c>
      <c r="AA19" s="7">
        <v>8712.875</v>
      </c>
      <c r="AB19" s="7">
        <v>9050.9709999999995</v>
      </c>
      <c r="AC19" s="7">
        <v>9277.7250000000004</v>
      </c>
      <c r="AD19" s="7">
        <v>9329.6049999999996</v>
      </c>
    </row>
    <row r="20" spans="1:30">
      <c r="A20" s="4">
        <v>392</v>
      </c>
      <c r="B20" s="5" t="s">
        <v>9</v>
      </c>
      <c r="C20" s="5" t="s">
        <v>10</v>
      </c>
      <c r="D20" s="4" t="s">
        <v>25</v>
      </c>
      <c r="E20" s="7">
        <v>7704.3249999999998</v>
      </c>
      <c r="F20" s="7">
        <v>7995.4210000000003</v>
      </c>
      <c r="G20" s="7">
        <v>8360.3649999999998</v>
      </c>
      <c r="H20" s="7">
        <v>8727.7049999999999</v>
      </c>
      <c r="I20" s="7">
        <v>8993.3109999999997</v>
      </c>
      <c r="J20" s="7">
        <v>9097.1440000000002</v>
      </c>
      <c r="K20" s="7">
        <v>9028.7489999999998</v>
      </c>
      <c r="L20" s="7">
        <v>8822.8979999999992</v>
      </c>
      <c r="M20" s="7">
        <v>8526.6919999999991</v>
      </c>
      <c r="N20" s="7">
        <v>8214.1170000000002</v>
      </c>
      <c r="O20" s="7">
        <v>7931.2669999999998</v>
      </c>
      <c r="P20" s="7">
        <v>7648.1379999999999</v>
      </c>
      <c r="Q20" s="7">
        <v>7389.0649999999996</v>
      </c>
      <c r="R20" s="7">
        <v>7164.9889999999996</v>
      </c>
      <c r="S20" s="7">
        <v>6993.19</v>
      </c>
      <c r="T20" s="7">
        <v>6885.4759999999997</v>
      </c>
      <c r="U20" s="7">
        <v>6829.7889999999998</v>
      </c>
      <c r="V20" s="7">
        <v>6852.4350000000004</v>
      </c>
      <c r="W20" s="7">
        <v>6930.0309999999999</v>
      </c>
      <c r="X20" s="7">
        <v>7029.0240000000003</v>
      </c>
      <c r="Y20" s="7">
        <v>7129.43</v>
      </c>
      <c r="Z20" s="7">
        <v>7218.201</v>
      </c>
      <c r="AA20" s="7">
        <v>7305.02</v>
      </c>
      <c r="AB20" s="7">
        <v>7408.4989999999998</v>
      </c>
      <c r="AC20" s="7">
        <v>7562.0410000000002</v>
      </c>
      <c r="AD20" s="7">
        <v>7779.2250000000004</v>
      </c>
    </row>
    <row r="21" spans="1:30">
      <c r="A21" s="4">
        <v>392</v>
      </c>
      <c r="B21" s="5" t="s">
        <v>9</v>
      </c>
      <c r="C21" s="5" t="s">
        <v>10</v>
      </c>
      <c r="D21" s="4" t="s">
        <v>26</v>
      </c>
      <c r="E21" s="7">
        <v>6255.1279999999997</v>
      </c>
      <c r="F21" s="7">
        <v>6342.3559999999998</v>
      </c>
      <c r="G21" s="7">
        <v>6442.027</v>
      </c>
      <c r="H21" s="7">
        <v>6571.87</v>
      </c>
      <c r="I21" s="7">
        <v>6760.634</v>
      </c>
      <c r="J21" s="7">
        <v>7018.7709999999997</v>
      </c>
      <c r="K21" s="7">
        <v>7285.027</v>
      </c>
      <c r="L21" s="7">
        <v>7625.9660000000003</v>
      </c>
      <c r="M21" s="7">
        <v>7974.8090000000002</v>
      </c>
      <c r="N21" s="7">
        <v>8234.0149999999994</v>
      </c>
      <c r="O21" s="7">
        <v>8347.4150000000009</v>
      </c>
      <c r="P21" s="7">
        <v>8272.07</v>
      </c>
      <c r="Q21" s="7">
        <v>8082.2039999999997</v>
      </c>
      <c r="R21" s="7">
        <v>7822.6639999999998</v>
      </c>
      <c r="S21" s="7">
        <v>7558.0569999999998</v>
      </c>
      <c r="T21" s="7">
        <v>7324.8720000000003</v>
      </c>
      <c r="U21" s="7">
        <v>7064.78</v>
      </c>
      <c r="V21" s="7">
        <v>6828.7449999999999</v>
      </c>
      <c r="W21" s="7">
        <v>6627.268</v>
      </c>
      <c r="X21" s="7">
        <v>6480.1719999999996</v>
      </c>
      <c r="Y21" s="7">
        <v>6400.3119999999999</v>
      </c>
      <c r="Z21" s="7">
        <v>6347.9229999999998</v>
      </c>
      <c r="AA21" s="7">
        <v>6372.95</v>
      </c>
      <c r="AB21" s="7">
        <v>6452.3940000000002</v>
      </c>
      <c r="AC21" s="7">
        <v>6555.8559999999998</v>
      </c>
      <c r="AD21" s="7">
        <v>6665.72</v>
      </c>
    </row>
    <row r="22" spans="1:30">
      <c r="A22" s="4">
        <v>392</v>
      </c>
      <c r="B22" s="5" t="s">
        <v>9</v>
      </c>
      <c r="C22" s="5" t="s">
        <v>10</v>
      </c>
      <c r="D22" s="4" t="s">
        <v>27</v>
      </c>
      <c r="E22" s="7">
        <v>4875.7290000000003</v>
      </c>
      <c r="F22" s="7">
        <v>4935.6019999999999</v>
      </c>
      <c r="G22" s="7">
        <v>4994.817</v>
      </c>
      <c r="H22" s="7">
        <v>5065.6130000000003</v>
      </c>
      <c r="I22" s="7">
        <v>5160.3289999999997</v>
      </c>
      <c r="J22" s="7">
        <v>5284.3320000000003</v>
      </c>
      <c r="K22" s="7">
        <v>5362.6360000000004</v>
      </c>
      <c r="L22" s="7">
        <v>5450.8890000000001</v>
      </c>
      <c r="M22" s="7">
        <v>5570.2380000000003</v>
      </c>
      <c r="N22" s="7">
        <v>5750.5969999999998</v>
      </c>
      <c r="O22" s="7">
        <v>6002.5619999999999</v>
      </c>
      <c r="P22" s="7">
        <v>6239.6869999999999</v>
      </c>
      <c r="Q22" s="7">
        <v>6544.9560000000001</v>
      </c>
      <c r="R22" s="7">
        <v>6859.8770000000004</v>
      </c>
      <c r="S22" s="7">
        <v>7098.67</v>
      </c>
      <c r="T22" s="7">
        <v>7214.2569999999996</v>
      </c>
      <c r="U22" s="7">
        <v>7137.2569999999996</v>
      </c>
      <c r="V22" s="7">
        <v>6972.3119999999999</v>
      </c>
      <c r="W22" s="7">
        <v>6763.7870000000003</v>
      </c>
      <c r="X22" s="7">
        <v>6564.0240000000003</v>
      </c>
      <c r="Y22" s="7">
        <v>6397.116</v>
      </c>
      <c r="Z22" s="7">
        <v>6173.7430000000004</v>
      </c>
      <c r="AA22" s="7">
        <v>5969.1469999999999</v>
      </c>
      <c r="AB22" s="7">
        <v>5798.1009999999997</v>
      </c>
      <c r="AC22" s="7">
        <v>5685.1819999999998</v>
      </c>
      <c r="AD22" s="7">
        <v>5644.1220000000003</v>
      </c>
    </row>
    <row r="23" spans="1:30">
      <c r="A23" s="4">
        <v>392</v>
      </c>
      <c r="B23" s="5" t="s">
        <v>9</v>
      </c>
      <c r="C23" s="5" t="s">
        <v>10</v>
      </c>
      <c r="D23" s="4" t="s">
        <v>28</v>
      </c>
      <c r="E23" s="7">
        <v>3072.6260000000002</v>
      </c>
      <c r="F23" s="7">
        <v>3184.8870000000002</v>
      </c>
      <c r="G23" s="7">
        <v>3287.0189999999998</v>
      </c>
      <c r="H23" s="7">
        <v>3379.0819999999999</v>
      </c>
      <c r="I23" s="7">
        <v>3475.0419999999999</v>
      </c>
      <c r="J23" s="7">
        <v>3578.4659999999999</v>
      </c>
      <c r="K23" s="7">
        <v>3644.6030000000001</v>
      </c>
      <c r="L23" s="7">
        <v>3700.9659999999999</v>
      </c>
      <c r="M23" s="7">
        <v>3756.665</v>
      </c>
      <c r="N23" s="7">
        <v>3834.335</v>
      </c>
      <c r="O23" s="7">
        <v>3947.1109999999999</v>
      </c>
      <c r="P23" s="7">
        <v>4029.2710000000002</v>
      </c>
      <c r="Q23" s="7">
        <v>4104.6629999999996</v>
      </c>
      <c r="R23" s="7">
        <v>4193.5870000000004</v>
      </c>
      <c r="S23" s="7">
        <v>4340.1049999999996</v>
      </c>
      <c r="T23" s="7">
        <v>4562.0389999999998</v>
      </c>
      <c r="U23" s="7">
        <v>4778.5349999999999</v>
      </c>
      <c r="V23" s="7">
        <v>5032.79</v>
      </c>
      <c r="W23" s="7">
        <v>5273.8329999999996</v>
      </c>
      <c r="X23" s="7">
        <v>5467.9629999999997</v>
      </c>
      <c r="Y23" s="7">
        <v>5574.1459999999997</v>
      </c>
      <c r="Z23" s="7">
        <v>5524.6360000000004</v>
      </c>
      <c r="AA23" s="7">
        <v>5408.2020000000002</v>
      </c>
      <c r="AB23" s="7">
        <v>5255.6790000000001</v>
      </c>
      <c r="AC23" s="7">
        <v>5113.366</v>
      </c>
      <c r="AD23" s="7">
        <v>5018.49</v>
      </c>
    </row>
    <row r="24" spans="1:30">
      <c r="A24" s="4">
        <v>392</v>
      </c>
      <c r="B24" s="5" t="s">
        <v>9</v>
      </c>
      <c r="C24" s="5" t="s">
        <v>10</v>
      </c>
      <c r="D24" s="4" t="s">
        <v>29</v>
      </c>
      <c r="E24" s="7">
        <v>1328.15</v>
      </c>
      <c r="F24" s="7">
        <v>1448.0029999999999</v>
      </c>
      <c r="G24" s="7">
        <v>1534.6759999999999</v>
      </c>
      <c r="H24" s="7">
        <v>1611.355</v>
      </c>
      <c r="I24" s="7">
        <v>1681.568</v>
      </c>
      <c r="J24" s="7">
        <v>1759.896</v>
      </c>
      <c r="K24" s="7">
        <v>1875.4870000000001</v>
      </c>
      <c r="L24" s="7">
        <v>1942.1659999999999</v>
      </c>
      <c r="M24" s="7">
        <v>1994.088</v>
      </c>
      <c r="N24" s="7">
        <v>2043.24</v>
      </c>
      <c r="O24" s="7">
        <v>2103.7689999999998</v>
      </c>
      <c r="P24" s="7">
        <v>2196.2289999999998</v>
      </c>
      <c r="Q24" s="7">
        <v>2236.3589999999999</v>
      </c>
      <c r="R24" s="7">
        <v>2266.7939999999999</v>
      </c>
      <c r="S24" s="7">
        <v>2306.3580000000002</v>
      </c>
      <c r="T24" s="7">
        <v>2376.0050000000001</v>
      </c>
      <c r="U24" s="7">
        <v>2480.7150000000001</v>
      </c>
      <c r="V24" s="7">
        <v>2533.2080000000001</v>
      </c>
      <c r="W24" s="7">
        <v>2589.1439999999998</v>
      </c>
      <c r="X24" s="7">
        <v>2668.9670000000001</v>
      </c>
      <c r="Y24" s="7">
        <v>2817.9090000000001</v>
      </c>
      <c r="Z24" s="7">
        <v>3023.63</v>
      </c>
      <c r="AA24" s="7">
        <v>3187.0709999999999</v>
      </c>
      <c r="AB24" s="7">
        <v>3329.5349999999999</v>
      </c>
      <c r="AC24" s="7">
        <v>3443.4720000000002</v>
      </c>
      <c r="AD24" s="7">
        <v>3522.6329999999998</v>
      </c>
    </row>
    <row r="25" spans="1:30">
      <c r="A25" s="4">
        <v>392</v>
      </c>
      <c r="B25" s="5" t="s">
        <v>9</v>
      </c>
      <c r="C25" s="5" t="s">
        <v>10</v>
      </c>
      <c r="D25" s="4" t="s">
        <v>30</v>
      </c>
      <c r="E25" s="7">
        <v>371.738</v>
      </c>
      <c r="F25" s="7">
        <v>406.238</v>
      </c>
      <c r="G25" s="7">
        <v>456.40199999999999</v>
      </c>
      <c r="H25" s="7">
        <v>499.79700000000003</v>
      </c>
      <c r="I25" s="7">
        <v>520.40599999999995</v>
      </c>
      <c r="J25" s="7">
        <v>509.274</v>
      </c>
      <c r="K25" s="7">
        <v>562.53599999999994</v>
      </c>
      <c r="L25" s="7">
        <v>633.19299999999998</v>
      </c>
      <c r="M25" s="7">
        <v>690.06399999999996</v>
      </c>
      <c r="N25" s="7">
        <v>713.51300000000003</v>
      </c>
      <c r="O25" s="7">
        <v>695.31200000000001</v>
      </c>
      <c r="P25" s="7">
        <v>749.07</v>
      </c>
      <c r="Q25" s="7">
        <v>816.55</v>
      </c>
      <c r="R25" s="7">
        <v>868.36</v>
      </c>
      <c r="S25" s="7">
        <v>885.48400000000004</v>
      </c>
      <c r="T25" s="7">
        <v>858.77</v>
      </c>
      <c r="U25" s="7">
        <v>902.904</v>
      </c>
      <c r="V25" s="7">
        <v>961.33699999999999</v>
      </c>
      <c r="W25" s="7">
        <v>1008.779</v>
      </c>
      <c r="X25" s="7">
        <v>1026.4549999999999</v>
      </c>
      <c r="Y25" s="7">
        <v>1002.55</v>
      </c>
      <c r="Z25" s="7">
        <v>1053.3589999999999</v>
      </c>
      <c r="AA25" s="7">
        <v>1127.299</v>
      </c>
      <c r="AB25" s="7">
        <v>1195.404</v>
      </c>
      <c r="AC25" s="7">
        <v>1234.2840000000001</v>
      </c>
      <c r="AD25" s="7">
        <v>1228.8420000000001</v>
      </c>
    </row>
    <row r="26" spans="1:30">
      <c r="A26" s="4">
        <v>392</v>
      </c>
      <c r="B26" s="5" t="s">
        <v>9</v>
      </c>
      <c r="C26" s="5" t="s">
        <v>10</v>
      </c>
      <c r="D26" s="4" t="s">
        <v>31</v>
      </c>
      <c r="E26" s="7">
        <v>58.24</v>
      </c>
      <c r="F26" s="7">
        <v>62.747999999999998</v>
      </c>
      <c r="G26" s="7">
        <v>67.341999999999999</v>
      </c>
      <c r="H26" s="7">
        <v>72.126000000000005</v>
      </c>
      <c r="I26" s="7">
        <v>77.239000000000004</v>
      </c>
      <c r="J26" s="7">
        <v>82.786000000000001</v>
      </c>
      <c r="K26" s="7">
        <v>88.903999999999996</v>
      </c>
      <c r="L26" s="7">
        <v>95.477999999999994</v>
      </c>
      <c r="M26" s="7">
        <v>102.565</v>
      </c>
      <c r="N26" s="7">
        <v>110.217</v>
      </c>
      <c r="O26" s="7">
        <v>118.447</v>
      </c>
      <c r="P26" s="7">
        <v>127.464</v>
      </c>
      <c r="Q26" s="7">
        <v>137.06700000000001</v>
      </c>
      <c r="R26" s="7">
        <v>147.07499999999999</v>
      </c>
      <c r="S26" s="7">
        <v>157.24299999999999</v>
      </c>
      <c r="T26" s="7">
        <v>167.37</v>
      </c>
      <c r="U26" s="7">
        <v>177.739</v>
      </c>
      <c r="V26" s="7">
        <v>188.14</v>
      </c>
      <c r="W26" s="7">
        <v>198.43299999999999</v>
      </c>
      <c r="X26" s="7">
        <v>208.458</v>
      </c>
      <c r="Y26" s="7">
        <v>218.126</v>
      </c>
      <c r="Z26" s="7">
        <v>227.809</v>
      </c>
      <c r="AA26" s="7">
        <v>237.327</v>
      </c>
      <c r="AB26" s="7">
        <v>246.92500000000001</v>
      </c>
      <c r="AC26" s="7">
        <v>256.94900000000001</v>
      </c>
      <c r="AD26" s="7">
        <v>267.67399999999998</v>
      </c>
    </row>
    <row r="27" spans="1:30">
      <c r="A27" s="4">
        <v>392</v>
      </c>
      <c r="B27" s="5" t="s">
        <v>9</v>
      </c>
      <c r="C27" s="5" t="s">
        <v>32</v>
      </c>
      <c r="D27" s="4" t="s">
        <v>11</v>
      </c>
      <c r="E27" s="7">
        <v>2624.85</v>
      </c>
      <c r="F27" s="7">
        <v>2599.6039999999998</v>
      </c>
      <c r="G27" s="7">
        <v>2575.3029999999999</v>
      </c>
      <c r="H27" s="7">
        <v>2552.0059999999999</v>
      </c>
      <c r="I27" s="7">
        <v>2528.0390000000002</v>
      </c>
      <c r="J27" s="7">
        <v>2502.1120000000001</v>
      </c>
      <c r="K27" s="7">
        <v>2475.4769999999999</v>
      </c>
      <c r="L27" s="7">
        <v>2452.672</v>
      </c>
      <c r="M27" s="7">
        <v>2432.1590000000001</v>
      </c>
      <c r="N27" s="7">
        <v>2412.3939999999998</v>
      </c>
      <c r="O27" s="7">
        <v>2391.9899999999998</v>
      </c>
      <c r="P27" s="7">
        <v>2376.6970000000001</v>
      </c>
      <c r="Q27" s="7">
        <v>2362.13</v>
      </c>
      <c r="R27" s="7">
        <v>2347.94</v>
      </c>
      <c r="S27" s="7">
        <v>2334.1089999999999</v>
      </c>
      <c r="T27" s="7">
        <v>2320.4929999999999</v>
      </c>
      <c r="U27" s="7">
        <v>2313.0349999999999</v>
      </c>
      <c r="V27" s="7">
        <v>2305.6729999999998</v>
      </c>
      <c r="W27" s="7">
        <v>2298.1489999999999</v>
      </c>
      <c r="X27" s="7">
        <v>2290.087</v>
      </c>
      <c r="Y27" s="7">
        <v>2281.16</v>
      </c>
      <c r="Z27" s="7">
        <v>2277.1350000000002</v>
      </c>
      <c r="AA27" s="7">
        <v>2272.6350000000002</v>
      </c>
      <c r="AB27" s="7">
        <v>2267.3020000000001</v>
      </c>
      <c r="AC27" s="7">
        <v>2260.7280000000001</v>
      </c>
      <c r="AD27" s="7">
        <v>2252.4369999999999</v>
      </c>
    </row>
    <row r="28" spans="1:30">
      <c r="A28" s="4">
        <v>392</v>
      </c>
      <c r="B28" s="5" t="s">
        <v>9</v>
      </c>
      <c r="C28" s="5" t="s">
        <v>32</v>
      </c>
      <c r="D28" s="4" t="s">
        <v>12</v>
      </c>
      <c r="E28" s="7">
        <v>2705.134</v>
      </c>
      <c r="F28" s="7">
        <v>2696.748</v>
      </c>
      <c r="G28" s="7">
        <v>2684.4760000000001</v>
      </c>
      <c r="H28" s="7">
        <v>2667.9989999999998</v>
      </c>
      <c r="I28" s="7">
        <v>2648.1849999999999</v>
      </c>
      <c r="J28" s="7">
        <v>2626.6610000000001</v>
      </c>
      <c r="K28" s="7">
        <v>2607.6869999999999</v>
      </c>
      <c r="L28" s="7">
        <v>2585.2860000000001</v>
      </c>
      <c r="M28" s="7">
        <v>2559.748</v>
      </c>
      <c r="N28" s="7">
        <v>2532.16</v>
      </c>
      <c r="O28" s="7">
        <v>2504.194</v>
      </c>
      <c r="P28" s="7">
        <v>2481.2260000000001</v>
      </c>
      <c r="Q28" s="7">
        <v>2458.7370000000001</v>
      </c>
      <c r="R28" s="7">
        <v>2436.9810000000002</v>
      </c>
      <c r="S28" s="7">
        <v>2415.6979999999999</v>
      </c>
      <c r="T28" s="7">
        <v>2394.2719999999999</v>
      </c>
      <c r="U28" s="7">
        <v>2378.1190000000001</v>
      </c>
      <c r="V28" s="7">
        <v>2363.2280000000001</v>
      </c>
      <c r="W28" s="7">
        <v>2349.4859999999999</v>
      </c>
      <c r="X28" s="7">
        <v>2336.3449999999998</v>
      </c>
      <c r="Y28" s="7">
        <v>2322.944</v>
      </c>
      <c r="Z28" s="7">
        <v>2314.7240000000002</v>
      </c>
      <c r="AA28" s="7">
        <v>2307.049</v>
      </c>
      <c r="AB28" s="7">
        <v>2299.6610000000001</v>
      </c>
      <c r="AC28" s="7">
        <v>2292.0990000000002</v>
      </c>
      <c r="AD28" s="7">
        <v>2283.7179999999998</v>
      </c>
    </row>
    <row r="29" spans="1:30">
      <c r="A29" s="4">
        <v>392</v>
      </c>
      <c r="B29" s="5" t="s">
        <v>9</v>
      </c>
      <c r="C29" s="5" t="s">
        <v>32</v>
      </c>
      <c r="D29" s="4" t="s">
        <v>13</v>
      </c>
      <c r="E29" s="7">
        <v>2759.0120000000002</v>
      </c>
      <c r="F29" s="7">
        <v>2744.337</v>
      </c>
      <c r="G29" s="7">
        <v>2734.3939999999998</v>
      </c>
      <c r="H29" s="7">
        <v>2727.2510000000002</v>
      </c>
      <c r="I29" s="7">
        <v>2719.0859999999998</v>
      </c>
      <c r="J29" s="7">
        <v>2706.8240000000001</v>
      </c>
      <c r="K29" s="7">
        <v>2697.665</v>
      </c>
      <c r="L29" s="7">
        <v>2685.317</v>
      </c>
      <c r="M29" s="7">
        <v>2669.7620000000002</v>
      </c>
      <c r="N29" s="7">
        <v>2650.96</v>
      </c>
      <c r="O29" s="7">
        <v>2628.4810000000002</v>
      </c>
      <c r="P29" s="7">
        <v>2609.2919999999999</v>
      </c>
      <c r="Q29" s="7">
        <v>2586.864</v>
      </c>
      <c r="R29" s="7">
        <v>2561.5630000000001</v>
      </c>
      <c r="S29" s="7">
        <v>2534.3530000000001</v>
      </c>
      <c r="T29" s="7">
        <v>2506.1260000000002</v>
      </c>
      <c r="U29" s="7">
        <v>2484.7559999999999</v>
      </c>
      <c r="V29" s="7">
        <v>2463.29</v>
      </c>
      <c r="W29" s="7">
        <v>2441.4090000000001</v>
      </c>
      <c r="X29" s="7">
        <v>2419.0039999999999</v>
      </c>
      <c r="Y29" s="7">
        <v>2396.3020000000001</v>
      </c>
      <c r="Z29" s="7">
        <v>2381.58</v>
      </c>
      <c r="AA29" s="7">
        <v>2367.5749999999998</v>
      </c>
      <c r="AB29" s="7">
        <v>2353.7359999999999</v>
      </c>
      <c r="AC29" s="7">
        <v>2339.6210000000001</v>
      </c>
      <c r="AD29" s="7">
        <v>2325.04</v>
      </c>
    </row>
    <row r="30" spans="1:30">
      <c r="A30" s="4">
        <v>392</v>
      </c>
      <c r="B30" s="5" t="s">
        <v>9</v>
      </c>
      <c r="C30" s="5" t="s">
        <v>32</v>
      </c>
      <c r="D30" s="4" t="s">
        <v>14</v>
      </c>
      <c r="E30" s="7">
        <v>2911.0540000000001</v>
      </c>
      <c r="F30" s="7">
        <v>2892.355</v>
      </c>
      <c r="G30" s="7">
        <v>2863.9630000000002</v>
      </c>
      <c r="H30" s="7">
        <v>2829.8359999999998</v>
      </c>
      <c r="I30" s="7">
        <v>2797.297</v>
      </c>
      <c r="J30" s="7">
        <v>2770.7429999999999</v>
      </c>
      <c r="K30" s="7">
        <v>2755.8910000000001</v>
      </c>
      <c r="L30" s="7">
        <v>2746.4380000000001</v>
      </c>
      <c r="M30" s="7">
        <v>2739.7220000000002</v>
      </c>
      <c r="N30" s="7">
        <v>2731.4540000000002</v>
      </c>
      <c r="O30" s="7">
        <v>2718.7150000000001</v>
      </c>
      <c r="P30" s="7">
        <v>2709.587</v>
      </c>
      <c r="Q30" s="7">
        <v>2697.7910000000002</v>
      </c>
      <c r="R30" s="7">
        <v>2682.598</v>
      </c>
      <c r="S30" s="7">
        <v>2663.6060000000002</v>
      </c>
      <c r="T30" s="7">
        <v>2640.54</v>
      </c>
      <c r="U30" s="7">
        <v>2621.453</v>
      </c>
      <c r="V30" s="7">
        <v>2599.25</v>
      </c>
      <c r="W30" s="7">
        <v>2574.1219999999998</v>
      </c>
      <c r="X30" s="7">
        <v>2546.9299999999998</v>
      </c>
      <c r="Y30" s="7">
        <v>2518.3319999999999</v>
      </c>
      <c r="Z30" s="7">
        <v>2496.8490000000002</v>
      </c>
      <c r="AA30" s="7">
        <v>2475.3870000000002</v>
      </c>
      <c r="AB30" s="7">
        <v>2453.6080000000002</v>
      </c>
      <c r="AC30" s="7">
        <v>2431.3809999999999</v>
      </c>
      <c r="AD30" s="7">
        <v>2408.62</v>
      </c>
    </row>
    <row r="31" spans="1:30">
      <c r="A31" s="4">
        <v>392</v>
      </c>
      <c r="B31" s="5" t="s">
        <v>9</v>
      </c>
      <c r="C31" s="5" t="s">
        <v>32</v>
      </c>
      <c r="D31" s="4" t="s">
        <v>15</v>
      </c>
      <c r="E31" s="7">
        <v>2990.8780000000002</v>
      </c>
      <c r="F31" s="7">
        <v>2967.9609999999998</v>
      </c>
      <c r="G31" s="7">
        <v>2957.857</v>
      </c>
      <c r="H31" s="7">
        <v>2954.4270000000001</v>
      </c>
      <c r="I31" s="7">
        <v>2947.913</v>
      </c>
      <c r="J31" s="7">
        <v>2931.877</v>
      </c>
      <c r="K31" s="7">
        <v>2912.0659999999998</v>
      </c>
      <c r="L31" s="7">
        <v>2883.1909999999998</v>
      </c>
      <c r="M31" s="7">
        <v>2849.3440000000001</v>
      </c>
      <c r="N31" s="7">
        <v>2817.6179999999999</v>
      </c>
      <c r="O31" s="7">
        <v>2791.9430000000002</v>
      </c>
      <c r="P31" s="7">
        <v>2776.22</v>
      </c>
      <c r="Q31" s="7">
        <v>2766.3980000000001</v>
      </c>
      <c r="R31" s="7">
        <v>2759.8789999999999</v>
      </c>
      <c r="S31" s="7">
        <v>2752.2240000000002</v>
      </c>
      <c r="T31" s="7">
        <v>2740.1759999999999</v>
      </c>
      <c r="U31" s="7">
        <v>2730.3789999999999</v>
      </c>
      <c r="V31" s="7">
        <v>2718.261</v>
      </c>
      <c r="W31" s="7">
        <v>2703.18</v>
      </c>
      <c r="X31" s="7">
        <v>2684.6729999999998</v>
      </c>
      <c r="Y31" s="7">
        <v>2662.2440000000001</v>
      </c>
      <c r="Z31" s="7">
        <v>2642.2620000000002</v>
      </c>
      <c r="AA31" s="7">
        <v>2619.5140000000001</v>
      </c>
      <c r="AB31" s="7">
        <v>2594.4389999999999</v>
      </c>
      <c r="AC31" s="7">
        <v>2567.9180000000001</v>
      </c>
      <c r="AD31" s="7">
        <v>2540.2950000000001</v>
      </c>
    </row>
    <row r="32" spans="1:30">
      <c r="A32" s="4">
        <v>392</v>
      </c>
      <c r="B32" s="5" t="s">
        <v>9</v>
      </c>
      <c r="C32" s="5" t="s">
        <v>32</v>
      </c>
      <c r="D32" s="4" t="s">
        <v>16</v>
      </c>
      <c r="E32" s="7">
        <v>3295.0549999999998</v>
      </c>
      <c r="F32" s="7">
        <v>3225.808</v>
      </c>
      <c r="G32" s="7">
        <v>3159.5619999999999</v>
      </c>
      <c r="H32" s="7">
        <v>3099.0839999999998</v>
      </c>
      <c r="I32" s="7">
        <v>3048.4769999999999</v>
      </c>
      <c r="J32" s="7">
        <v>3009.663</v>
      </c>
      <c r="K32" s="7">
        <v>2986.4789999999998</v>
      </c>
      <c r="L32" s="7">
        <v>2976.3879999999999</v>
      </c>
      <c r="M32" s="7">
        <v>2973.1460000000002</v>
      </c>
      <c r="N32" s="7">
        <v>2966.8490000000002</v>
      </c>
      <c r="O32" s="7">
        <v>2951.0880000000002</v>
      </c>
      <c r="P32" s="7">
        <v>2931.248</v>
      </c>
      <c r="Q32" s="7">
        <v>2902.5340000000001</v>
      </c>
      <c r="R32" s="7">
        <v>2868.8440000000001</v>
      </c>
      <c r="S32" s="7">
        <v>2837.183</v>
      </c>
      <c r="T32" s="7">
        <v>2811.6219999999998</v>
      </c>
      <c r="U32" s="7">
        <v>2796.085</v>
      </c>
      <c r="V32" s="7">
        <v>2786.45</v>
      </c>
      <c r="W32" s="7">
        <v>2779.9589999999998</v>
      </c>
      <c r="X32" s="7">
        <v>2772.203</v>
      </c>
      <c r="Y32" s="7">
        <v>2760.1840000000002</v>
      </c>
      <c r="Z32" s="7">
        <v>2750.3209999999999</v>
      </c>
      <c r="AA32" s="7">
        <v>2738.1489999999999</v>
      </c>
      <c r="AB32" s="7">
        <v>2723.029</v>
      </c>
      <c r="AC32" s="7">
        <v>2704.607</v>
      </c>
      <c r="AD32" s="7">
        <v>2682.5639999999999</v>
      </c>
    </row>
    <row r="33" spans="1:30">
      <c r="A33" s="4">
        <v>392</v>
      </c>
      <c r="B33" s="5" t="s">
        <v>9</v>
      </c>
      <c r="C33" s="5" t="s">
        <v>32</v>
      </c>
      <c r="D33" s="4" t="s">
        <v>17</v>
      </c>
      <c r="E33" s="7">
        <v>3716.431</v>
      </c>
      <c r="F33" s="7">
        <v>3635.7469999999998</v>
      </c>
      <c r="G33" s="7">
        <v>3552.0140000000001</v>
      </c>
      <c r="H33" s="7">
        <v>3467.0909999999999</v>
      </c>
      <c r="I33" s="7">
        <v>3384.6640000000002</v>
      </c>
      <c r="J33" s="7">
        <v>3307.0819999999999</v>
      </c>
      <c r="K33" s="7">
        <v>3237.8910000000001</v>
      </c>
      <c r="L33" s="7">
        <v>3171.8809999999999</v>
      </c>
      <c r="M33" s="7">
        <v>3111.7280000000001</v>
      </c>
      <c r="N33" s="7">
        <v>3061.3510000000001</v>
      </c>
      <c r="O33" s="7">
        <v>3022.5569999999998</v>
      </c>
      <c r="P33" s="7">
        <v>2999.6280000000002</v>
      </c>
      <c r="Q33" s="7">
        <v>2989.83</v>
      </c>
      <c r="R33" s="7">
        <v>2986.7579999999998</v>
      </c>
      <c r="S33" s="7">
        <v>2980.4279999999999</v>
      </c>
      <c r="T33" s="7">
        <v>2964.4470000000001</v>
      </c>
      <c r="U33" s="7">
        <v>2945.0810000000001</v>
      </c>
      <c r="V33" s="7">
        <v>2916.7310000000002</v>
      </c>
      <c r="W33" s="7">
        <v>2883.15</v>
      </c>
      <c r="X33" s="7">
        <v>2851.348</v>
      </c>
      <c r="Y33" s="7">
        <v>2825.529</v>
      </c>
      <c r="Z33" s="7">
        <v>2810.2150000000001</v>
      </c>
      <c r="AA33" s="7">
        <v>2800.6660000000002</v>
      </c>
      <c r="AB33" s="7">
        <v>2794.1660000000002</v>
      </c>
      <c r="AC33" s="7">
        <v>2786.4050000000002</v>
      </c>
      <c r="AD33" s="7">
        <v>2774.451</v>
      </c>
    </row>
    <row r="34" spans="1:30">
      <c r="A34" s="4">
        <v>392</v>
      </c>
      <c r="B34" s="5" t="s">
        <v>9</v>
      </c>
      <c r="C34" s="5" t="s">
        <v>32</v>
      </c>
      <c r="D34" s="4" t="s">
        <v>18</v>
      </c>
      <c r="E34" s="7">
        <v>4162.674</v>
      </c>
      <c r="F34" s="7">
        <v>4034.6109999999999</v>
      </c>
      <c r="G34" s="7">
        <v>3940.5650000000001</v>
      </c>
      <c r="H34" s="7">
        <v>3869.8240000000001</v>
      </c>
      <c r="I34" s="7">
        <v>3800.9389999999999</v>
      </c>
      <c r="J34" s="7">
        <v>3720.58</v>
      </c>
      <c r="K34" s="7">
        <v>3640.0210000000002</v>
      </c>
      <c r="L34" s="7">
        <v>3556.67</v>
      </c>
      <c r="M34" s="7">
        <v>3472.2640000000001</v>
      </c>
      <c r="N34" s="7">
        <v>3390.2289999999998</v>
      </c>
      <c r="O34" s="7">
        <v>3312.7150000000001</v>
      </c>
      <c r="P34" s="7">
        <v>3243.9229999999998</v>
      </c>
      <c r="Q34" s="7">
        <v>3178.3809999999999</v>
      </c>
      <c r="R34" s="7">
        <v>3118.5630000000001</v>
      </c>
      <c r="S34" s="7">
        <v>3068.2629999999999</v>
      </c>
      <c r="T34" s="7">
        <v>3029.2449999999999</v>
      </c>
      <c r="U34" s="7">
        <v>3006.8560000000002</v>
      </c>
      <c r="V34" s="7">
        <v>2997.4690000000001</v>
      </c>
      <c r="W34" s="7">
        <v>2994.5279999999998</v>
      </c>
      <c r="X34" s="7">
        <v>2988.0450000000001</v>
      </c>
      <c r="Y34" s="7">
        <v>2971.7109999999998</v>
      </c>
      <c r="Z34" s="7">
        <v>2952.62</v>
      </c>
      <c r="AA34" s="7">
        <v>2924.444</v>
      </c>
      <c r="AB34" s="7">
        <v>2890.9569999999999</v>
      </c>
      <c r="AC34" s="7">
        <v>2859.2240000000002</v>
      </c>
      <c r="AD34" s="7">
        <v>2833.433</v>
      </c>
    </row>
    <row r="35" spans="1:30">
      <c r="A35" s="4">
        <v>392</v>
      </c>
      <c r="B35" s="5" t="s">
        <v>9</v>
      </c>
      <c r="C35" s="5" t="s">
        <v>32</v>
      </c>
      <c r="D35" s="4" t="s">
        <v>19</v>
      </c>
      <c r="E35" s="7">
        <v>4927.5730000000003</v>
      </c>
      <c r="F35" s="7">
        <v>4870.2569999999996</v>
      </c>
      <c r="G35" s="7">
        <v>4723.9390000000003</v>
      </c>
      <c r="H35" s="7">
        <v>4522.433</v>
      </c>
      <c r="I35" s="7">
        <v>4321.8980000000001</v>
      </c>
      <c r="J35" s="7">
        <v>4157.9359999999997</v>
      </c>
      <c r="K35" s="7">
        <v>4030.3330000000001</v>
      </c>
      <c r="L35" s="7">
        <v>3936.8820000000001</v>
      </c>
      <c r="M35" s="7">
        <v>3866.7570000000001</v>
      </c>
      <c r="N35" s="7">
        <v>3798.3519999999999</v>
      </c>
      <c r="O35" s="7">
        <v>3718.201</v>
      </c>
      <c r="P35" s="7">
        <v>3638.13</v>
      </c>
      <c r="Q35" s="7">
        <v>3555.42</v>
      </c>
      <c r="R35" s="7">
        <v>3471.5709999999999</v>
      </c>
      <c r="S35" s="7">
        <v>3389.84</v>
      </c>
      <c r="T35" s="7">
        <v>3312.3020000000001</v>
      </c>
      <c r="U35" s="7">
        <v>3244.212</v>
      </c>
      <c r="V35" s="7">
        <v>3179.2620000000002</v>
      </c>
      <c r="W35" s="7">
        <v>3119.761</v>
      </c>
      <c r="X35" s="7">
        <v>3069.4769999999999</v>
      </c>
      <c r="Y35" s="7">
        <v>3030.2460000000001</v>
      </c>
      <c r="Z35" s="7">
        <v>3008.1660000000002</v>
      </c>
      <c r="AA35" s="7">
        <v>2998.97</v>
      </c>
      <c r="AB35" s="7">
        <v>2996.1370000000002</v>
      </c>
      <c r="AC35" s="7">
        <v>2989.75</v>
      </c>
      <c r="AD35" s="7">
        <v>2973.5</v>
      </c>
    </row>
    <row r="36" spans="1:30">
      <c r="A36" s="4">
        <v>392</v>
      </c>
      <c r="B36" s="5" t="s">
        <v>9</v>
      </c>
      <c r="C36" s="5" t="s">
        <v>32</v>
      </c>
      <c r="D36" s="4" t="s">
        <v>20</v>
      </c>
      <c r="E36" s="7">
        <v>4312.5069999999996</v>
      </c>
      <c r="F36" s="7">
        <v>4449.4459999999999</v>
      </c>
      <c r="G36" s="7">
        <v>4617.625</v>
      </c>
      <c r="H36" s="7">
        <v>4782.3630000000003</v>
      </c>
      <c r="I36" s="7">
        <v>4890.4139999999998</v>
      </c>
      <c r="J36" s="7">
        <v>4909.7960000000003</v>
      </c>
      <c r="K36" s="7">
        <v>4852.5519999999997</v>
      </c>
      <c r="L36" s="7">
        <v>4707.1859999999997</v>
      </c>
      <c r="M36" s="7">
        <v>4507.2730000000001</v>
      </c>
      <c r="N36" s="7">
        <v>4308.34</v>
      </c>
      <c r="O36" s="7">
        <v>4145.473</v>
      </c>
      <c r="P36" s="7">
        <v>4018.902</v>
      </c>
      <c r="Q36" s="7">
        <v>3926.3809999999999</v>
      </c>
      <c r="R36" s="7">
        <v>3856.9270000000001</v>
      </c>
      <c r="S36" s="7">
        <v>3788.9279999999999</v>
      </c>
      <c r="T36" s="7">
        <v>3708.9589999999998</v>
      </c>
      <c r="U36" s="7">
        <v>3629.81</v>
      </c>
      <c r="V36" s="7">
        <v>3547.9409999999998</v>
      </c>
      <c r="W36" s="7">
        <v>3464.6979999999999</v>
      </c>
      <c r="X36" s="7">
        <v>3383.2890000000002</v>
      </c>
      <c r="Y36" s="7">
        <v>3305.8409999999999</v>
      </c>
      <c r="Z36" s="7">
        <v>3238.2829999999999</v>
      </c>
      <c r="AA36" s="7">
        <v>3173.7469999999998</v>
      </c>
      <c r="AB36" s="7">
        <v>3114.6</v>
      </c>
      <c r="AC36" s="7">
        <v>3064.67</v>
      </c>
      <c r="AD36" s="7">
        <v>3025.761</v>
      </c>
    </row>
    <row r="37" spans="1:30">
      <c r="A37" s="4">
        <v>392</v>
      </c>
      <c r="B37" s="5" t="s">
        <v>9</v>
      </c>
      <c r="C37" s="5" t="s">
        <v>32</v>
      </c>
      <c r="D37" s="4" t="s">
        <v>21</v>
      </c>
      <c r="E37" s="7">
        <v>3950.5210000000002</v>
      </c>
      <c r="F37" s="7">
        <v>4003.355</v>
      </c>
      <c r="G37" s="7">
        <v>4051.5149999999999</v>
      </c>
      <c r="H37" s="7">
        <v>4104.6490000000003</v>
      </c>
      <c r="I37" s="7">
        <v>4180.0770000000002</v>
      </c>
      <c r="J37" s="7">
        <v>4285.2169999999996</v>
      </c>
      <c r="K37" s="7">
        <v>4421.6019999999999</v>
      </c>
      <c r="L37" s="7">
        <v>4589.4049999999997</v>
      </c>
      <c r="M37" s="7">
        <v>4753.9350000000004</v>
      </c>
      <c r="N37" s="7">
        <v>4861.8879999999999</v>
      </c>
      <c r="O37" s="7">
        <v>4881.2340000000004</v>
      </c>
      <c r="P37" s="7">
        <v>4824.7839999999997</v>
      </c>
      <c r="Q37" s="7">
        <v>4681.0619999999999</v>
      </c>
      <c r="R37" s="7">
        <v>4483.1350000000002</v>
      </c>
      <c r="S37" s="7">
        <v>4285.9229999999998</v>
      </c>
      <c r="T37" s="7">
        <v>4124.183</v>
      </c>
      <c r="U37" s="7">
        <v>3999.4279999999999</v>
      </c>
      <c r="V37" s="7">
        <v>3908.2979999999998</v>
      </c>
      <c r="W37" s="7">
        <v>3839.6419999999998</v>
      </c>
      <c r="X37" s="7">
        <v>3772.0189999999998</v>
      </c>
      <c r="Y37" s="7">
        <v>3692.2809999999999</v>
      </c>
      <c r="Z37" s="7">
        <v>3614.0210000000002</v>
      </c>
      <c r="AA37" s="7">
        <v>3532.9749999999999</v>
      </c>
      <c r="AB37" s="7">
        <v>3450.4850000000001</v>
      </c>
      <c r="AC37" s="7">
        <v>3369.7840000000001</v>
      </c>
      <c r="AD37" s="7">
        <v>3292.9780000000001</v>
      </c>
    </row>
    <row r="38" spans="1:30">
      <c r="A38" s="4">
        <v>392</v>
      </c>
      <c r="B38" s="5" t="s">
        <v>9</v>
      </c>
      <c r="C38" s="5" t="s">
        <v>32</v>
      </c>
      <c r="D38" s="4" t="s">
        <v>22</v>
      </c>
      <c r="E38" s="7">
        <v>3811.498</v>
      </c>
      <c r="F38" s="7">
        <v>3777.4459999999999</v>
      </c>
      <c r="G38" s="7">
        <v>3782.9540000000002</v>
      </c>
      <c r="H38" s="7">
        <v>3817.6909999999998</v>
      </c>
      <c r="I38" s="7">
        <v>3864.4540000000002</v>
      </c>
      <c r="J38" s="7">
        <v>3912.0059999999999</v>
      </c>
      <c r="K38" s="7">
        <v>3964.4960000000001</v>
      </c>
      <c r="L38" s="7">
        <v>4012.7890000000002</v>
      </c>
      <c r="M38" s="7">
        <v>4066.38</v>
      </c>
      <c r="N38" s="7">
        <v>4142.1310000000003</v>
      </c>
      <c r="O38" s="7">
        <v>4247.0540000000001</v>
      </c>
      <c r="P38" s="7">
        <v>4382.9840000000004</v>
      </c>
      <c r="Q38" s="7">
        <v>4550.384</v>
      </c>
      <c r="R38" s="7">
        <v>4714.4949999999999</v>
      </c>
      <c r="S38" s="7">
        <v>4822.1130000000003</v>
      </c>
      <c r="T38" s="7">
        <v>4841.3450000000003</v>
      </c>
      <c r="U38" s="7">
        <v>4786.201</v>
      </c>
      <c r="V38" s="7">
        <v>4644.5940000000001</v>
      </c>
      <c r="W38" s="7">
        <v>4449.1099999999997</v>
      </c>
      <c r="X38" s="7">
        <v>4254.1180000000004</v>
      </c>
      <c r="Y38" s="7">
        <v>4094.058</v>
      </c>
      <c r="Z38" s="7">
        <v>3971.0650000000001</v>
      </c>
      <c r="AA38" s="7">
        <v>3881.2449999999999</v>
      </c>
      <c r="AB38" s="7">
        <v>3813.55</v>
      </c>
      <c r="AC38" s="7">
        <v>3746.8580000000002</v>
      </c>
      <c r="AD38" s="7">
        <v>3668.1779999999999</v>
      </c>
    </row>
    <row r="39" spans="1:30">
      <c r="A39" s="4">
        <v>392</v>
      </c>
      <c r="B39" s="5" t="s">
        <v>9</v>
      </c>
      <c r="C39" s="5" t="s">
        <v>32</v>
      </c>
      <c r="D39" s="4" t="s">
        <v>23</v>
      </c>
      <c r="E39" s="7">
        <v>4370.2420000000002</v>
      </c>
      <c r="F39" s="7">
        <v>4207.7820000000002</v>
      </c>
      <c r="G39" s="7">
        <v>4058.3739999999998</v>
      </c>
      <c r="H39" s="7">
        <v>3929.152</v>
      </c>
      <c r="I39" s="7">
        <v>3827.1260000000002</v>
      </c>
      <c r="J39" s="7">
        <v>3756.5129999999999</v>
      </c>
      <c r="K39" s="7">
        <v>3723.491</v>
      </c>
      <c r="L39" s="7">
        <v>3729.904</v>
      </c>
      <c r="M39" s="7">
        <v>3765.4119999999998</v>
      </c>
      <c r="N39" s="7">
        <v>3812.739</v>
      </c>
      <c r="O39" s="7">
        <v>3860.5369999999998</v>
      </c>
      <c r="P39" s="7">
        <v>3912.8380000000002</v>
      </c>
      <c r="Q39" s="7">
        <v>3961.424</v>
      </c>
      <c r="R39" s="7">
        <v>4015.4989999999998</v>
      </c>
      <c r="S39" s="7">
        <v>4091.4580000000001</v>
      </c>
      <c r="T39" s="7">
        <v>4195.9750000000004</v>
      </c>
      <c r="U39" s="7">
        <v>4331.5569999999998</v>
      </c>
      <c r="V39" s="7">
        <v>4498.4639999999999</v>
      </c>
      <c r="W39" s="7">
        <v>4661.9319999999998</v>
      </c>
      <c r="X39" s="7">
        <v>4769.0789999999997</v>
      </c>
      <c r="Y39" s="7">
        <v>4788.3779999999997</v>
      </c>
      <c r="Z39" s="7">
        <v>4734.2169999999996</v>
      </c>
      <c r="AA39" s="7">
        <v>4594.7669999999998</v>
      </c>
      <c r="AB39" s="7">
        <v>4402.3670000000002</v>
      </c>
      <c r="AC39" s="7">
        <v>4210.7240000000002</v>
      </c>
      <c r="AD39" s="7">
        <v>4053.6370000000002</v>
      </c>
    </row>
    <row r="40" spans="1:30">
      <c r="A40" s="4">
        <v>392</v>
      </c>
      <c r="B40" s="5" t="s">
        <v>9</v>
      </c>
      <c r="C40" s="5" t="s">
        <v>32</v>
      </c>
      <c r="D40" s="4" t="s">
        <v>24</v>
      </c>
      <c r="E40" s="7">
        <v>4971.3789999999999</v>
      </c>
      <c r="F40" s="7">
        <v>4931.8670000000002</v>
      </c>
      <c r="G40" s="7">
        <v>4811.1840000000002</v>
      </c>
      <c r="H40" s="7">
        <v>4635.5370000000003</v>
      </c>
      <c r="I40" s="7">
        <v>4448.0159999999996</v>
      </c>
      <c r="J40" s="7">
        <v>4276.759</v>
      </c>
      <c r="K40" s="7">
        <v>4118.7870000000003</v>
      </c>
      <c r="L40" s="7">
        <v>3974.1610000000001</v>
      </c>
      <c r="M40" s="7">
        <v>3849.288</v>
      </c>
      <c r="N40" s="7">
        <v>3750.9780000000001</v>
      </c>
      <c r="O40" s="7">
        <v>3683.51</v>
      </c>
      <c r="P40" s="7">
        <v>3651.9450000000002</v>
      </c>
      <c r="Q40" s="7">
        <v>3659.7860000000001</v>
      </c>
      <c r="R40" s="7">
        <v>3696.3040000000001</v>
      </c>
      <c r="S40" s="7">
        <v>3744.1559999999999</v>
      </c>
      <c r="T40" s="7">
        <v>3792.125</v>
      </c>
      <c r="U40" s="7">
        <v>3844.2579999999998</v>
      </c>
      <c r="V40" s="7">
        <v>3893.3580000000002</v>
      </c>
      <c r="W40" s="7">
        <v>3948.1120000000001</v>
      </c>
      <c r="X40" s="7">
        <v>4024.3530000000001</v>
      </c>
      <c r="Y40" s="7">
        <v>4128.5389999999998</v>
      </c>
      <c r="Z40" s="7">
        <v>4262.9129999999996</v>
      </c>
      <c r="AA40" s="7">
        <v>4428.7110000000002</v>
      </c>
      <c r="AB40" s="7">
        <v>4591.268</v>
      </c>
      <c r="AC40" s="7">
        <v>4698.2089999999998</v>
      </c>
      <c r="AD40" s="7">
        <v>4718.4170000000004</v>
      </c>
    </row>
    <row r="41" spans="1:30">
      <c r="A41" s="4">
        <v>392</v>
      </c>
      <c r="B41" s="5" t="s">
        <v>9</v>
      </c>
      <c r="C41" s="5" t="s">
        <v>32</v>
      </c>
      <c r="D41" s="4" t="s">
        <v>25</v>
      </c>
      <c r="E41" s="7">
        <v>4120.2759999999998</v>
      </c>
      <c r="F41" s="7">
        <v>4268.125</v>
      </c>
      <c r="G41" s="7">
        <v>4451.3829999999998</v>
      </c>
      <c r="H41" s="7">
        <v>4634.21</v>
      </c>
      <c r="I41" s="7">
        <v>4763.3590000000004</v>
      </c>
      <c r="J41" s="7">
        <v>4807.1940000000004</v>
      </c>
      <c r="K41" s="7">
        <v>4766.759</v>
      </c>
      <c r="L41" s="7">
        <v>4651.1319999999996</v>
      </c>
      <c r="M41" s="7">
        <v>4485.1040000000003</v>
      </c>
      <c r="N41" s="7">
        <v>4309.0780000000004</v>
      </c>
      <c r="O41" s="7">
        <v>4148.9080000000004</v>
      </c>
      <c r="P41" s="7">
        <v>3996.4830000000002</v>
      </c>
      <c r="Q41" s="7">
        <v>3858.145</v>
      </c>
      <c r="R41" s="7">
        <v>3739.01</v>
      </c>
      <c r="S41" s="7">
        <v>3645.9560000000001</v>
      </c>
      <c r="T41" s="7">
        <v>3583.6529999999998</v>
      </c>
      <c r="U41" s="7">
        <v>3553.4090000000001</v>
      </c>
      <c r="V41" s="7">
        <v>3562.989</v>
      </c>
      <c r="W41" s="7">
        <v>3601.0059999999999</v>
      </c>
      <c r="X41" s="7">
        <v>3650.1239999999998</v>
      </c>
      <c r="Y41" s="7">
        <v>3699.3939999999998</v>
      </c>
      <c r="Z41" s="7">
        <v>3749.4279999999999</v>
      </c>
      <c r="AA41" s="7">
        <v>3798.232</v>
      </c>
      <c r="AB41" s="7">
        <v>3853.982</v>
      </c>
      <c r="AC41" s="7">
        <v>3931.7179999999998</v>
      </c>
      <c r="AD41" s="7">
        <v>4037.223</v>
      </c>
    </row>
    <row r="42" spans="1:30">
      <c r="A42" s="4">
        <v>392</v>
      </c>
      <c r="B42" s="5" t="s">
        <v>9</v>
      </c>
      <c r="C42" s="5" t="s">
        <v>32</v>
      </c>
      <c r="D42" s="4" t="s">
        <v>26</v>
      </c>
      <c r="E42" s="7">
        <v>3485.569</v>
      </c>
      <c r="F42" s="7">
        <v>3529.864</v>
      </c>
      <c r="G42" s="7">
        <v>3584.9270000000001</v>
      </c>
      <c r="H42" s="7">
        <v>3656.4549999999999</v>
      </c>
      <c r="I42" s="7">
        <v>3755.547</v>
      </c>
      <c r="J42" s="7">
        <v>3886.0030000000002</v>
      </c>
      <c r="K42" s="7">
        <v>4024.587</v>
      </c>
      <c r="L42" s="7">
        <v>4201.1120000000001</v>
      </c>
      <c r="M42" s="7">
        <v>4380.0940000000001</v>
      </c>
      <c r="N42" s="7">
        <v>4509.6750000000002</v>
      </c>
      <c r="O42" s="7">
        <v>4559.2709999999997</v>
      </c>
      <c r="P42" s="7">
        <v>4515.4480000000003</v>
      </c>
      <c r="Q42" s="7">
        <v>4405.9780000000001</v>
      </c>
      <c r="R42" s="7">
        <v>4253.8710000000001</v>
      </c>
      <c r="S42" s="7">
        <v>4095.873</v>
      </c>
      <c r="T42" s="7">
        <v>3954.451</v>
      </c>
      <c r="U42" s="7">
        <v>3809.8409999999999</v>
      </c>
      <c r="V42" s="7">
        <v>3680.3020000000001</v>
      </c>
      <c r="W42" s="7">
        <v>3569.3029999999999</v>
      </c>
      <c r="X42" s="7">
        <v>3484.6120000000001</v>
      </c>
      <c r="Y42" s="7">
        <v>3432.0509999999999</v>
      </c>
      <c r="Z42" s="7">
        <v>3402.1840000000002</v>
      </c>
      <c r="AA42" s="7">
        <v>3413.299</v>
      </c>
      <c r="AB42" s="7">
        <v>3453.0630000000001</v>
      </c>
      <c r="AC42" s="7">
        <v>3504.6329999999998</v>
      </c>
      <c r="AD42" s="7">
        <v>3557.8270000000002</v>
      </c>
    </row>
    <row r="43" spans="1:30">
      <c r="A43" s="4">
        <v>392</v>
      </c>
      <c r="B43" s="5" t="s">
        <v>9</v>
      </c>
      <c r="C43" s="5" t="s">
        <v>32</v>
      </c>
      <c r="D43" s="4" t="s">
        <v>27</v>
      </c>
      <c r="E43" s="7">
        <v>2934.2020000000002</v>
      </c>
      <c r="F43" s="7">
        <v>2955.7269999999999</v>
      </c>
      <c r="G43" s="7">
        <v>2977.268</v>
      </c>
      <c r="H43" s="7">
        <v>3005.3470000000002</v>
      </c>
      <c r="I43" s="7">
        <v>3048.6439999999998</v>
      </c>
      <c r="J43" s="7">
        <v>3111.1129999999998</v>
      </c>
      <c r="K43" s="7">
        <v>3149.4850000000001</v>
      </c>
      <c r="L43" s="7">
        <v>3199.6509999999998</v>
      </c>
      <c r="M43" s="7">
        <v>3268.509</v>
      </c>
      <c r="N43" s="7">
        <v>3368.268</v>
      </c>
      <c r="O43" s="7">
        <v>3502.9479999999999</v>
      </c>
      <c r="P43" s="7">
        <v>3627.2809999999999</v>
      </c>
      <c r="Q43" s="7">
        <v>3791.0309999999999</v>
      </c>
      <c r="R43" s="7">
        <v>3960.9279999999999</v>
      </c>
      <c r="S43" s="7">
        <v>4088.6590000000001</v>
      </c>
      <c r="T43" s="7">
        <v>4146.1639999999998</v>
      </c>
      <c r="U43" s="7">
        <v>4097.1890000000003</v>
      </c>
      <c r="V43" s="7">
        <v>3996.1579999999999</v>
      </c>
      <c r="W43" s="7">
        <v>3865.4389999999999</v>
      </c>
      <c r="X43" s="7">
        <v>3736.8090000000002</v>
      </c>
      <c r="Y43" s="7">
        <v>3627.123</v>
      </c>
      <c r="Z43" s="7">
        <v>3494.201</v>
      </c>
      <c r="AA43" s="7">
        <v>3376.346</v>
      </c>
      <c r="AB43" s="7">
        <v>3276.998</v>
      </c>
      <c r="AC43" s="7">
        <v>3206.52</v>
      </c>
      <c r="AD43" s="7">
        <v>3172.181</v>
      </c>
    </row>
    <row r="44" spans="1:30">
      <c r="A44" s="4">
        <v>392</v>
      </c>
      <c r="B44" s="5" t="s">
        <v>9</v>
      </c>
      <c r="C44" s="5" t="s">
        <v>32</v>
      </c>
      <c r="D44" s="4" t="s">
        <v>28</v>
      </c>
      <c r="E44" s="7">
        <v>2040.211</v>
      </c>
      <c r="F44" s="7">
        <v>2095.0129999999999</v>
      </c>
      <c r="G44" s="7">
        <v>2149.2550000000001</v>
      </c>
      <c r="H44" s="7">
        <v>2202.4630000000002</v>
      </c>
      <c r="I44" s="7">
        <v>2261.268</v>
      </c>
      <c r="J44" s="7">
        <v>2326.7049999999999</v>
      </c>
      <c r="K44" s="7">
        <v>2349.8589999999999</v>
      </c>
      <c r="L44" s="7">
        <v>2370.6990000000001</v>
      </c>
      <c r="M44" s="7">
        <v>2395.7159999999999</v>
      </c>
      <c r="N44" s="7">
        <v>2438.9879999999998</v>
      </c>
      <c r="O44" s="7">
        <v>2509.5479999999998</v>
      </c>
      <c r="P44" s="7">
        <v>2547.1570000000002</v>
      </c>
      <c r="Q44" s="7">
        <v>2589.4589999999998</v>
      </c>
      <c r="R44" s="7">
        <v>2645.0450000000001</v>
      </c>
      <c r="S44" s="7">
        <v>2735.4810000000002</v>
      </c>
      <c r="T44" s="7">
        <v>2869.6509999999998</v>
      </c>
      <c r="U44" s="7">
        <v>2982.1219999999998</v>
      </c>
      <c r="V44" s="7">
        <v>3123.4989999999998</v>
      </c>
      <c r="W44" s="7">
        <v>3264.16</v>
      </c>
      <c r="X44" s="7">
        <v>3381.473</v>
      </c>
      <c r="Y44" s="7">
        <v>3448.6950000000002</v>
      </c>
      <c r="Z44" s="7">
        <v>3404.4969999999998</v>
      </c>
      <c r="AA44" s="7">
        <v>3321.328</v>
      </c>
      <c r="AB44" s="7">
        <v>3217.1619999999998</v>
      </c>
      <c r="AC44" s="7">
        <v>3121.069</v>
      </c>
      <c r="AD44" s="7">
        <v>3058.9690000000001</v>
      </c>
    </row>
    <row r="45" spans="1:30">
      <c r="A45" s="4">
        <v>392</v>
      </c>
      <c r="B45" s="5" t="s">
        <v>9</v>
      </c>
      <c r="C45" s="5" t="s">
        <v>32</v>
      </c>
      <c r="D45" s="4" t="s">
        <v>29</v>
      </c>
      <c r="E45" s="7">
        <v>1004.08</v>
      </c>
      <c r="F45" s="7">
        <v>1074.2470000000001</v>
      </c>
      <c r="G45" s="7">
        <v>1121.7470000000001</v>
      </c>
      <c r="H45" s="7">
        <v>1166.53</v>
      </c>
      <c r="I45" s="7">
        <v>1214.8009999999999</v>
      </c>
      <c r="J45" s="7">
        <v>1276.499</v>
      </c>
      <c r="K45" s="7">
        <v>1341.4849999999999</v>
      </c>
      <c r="L45" s="7">
        <v>1377.3119999999999</v>
      </c>
      <c r="M45" s="7">
        <v>1408.761</v>
      </c>
      <c r="N45" s="7">
        <v>1445.8889999999999</v>
      </c>
      <c r="O45" s="7">
        <v>1496.49</v>
      </c>
      <c r="P45" s="7">
        <v>1541.492</v>
      </c>
      <c r="Q45" s="7">
        <v>1555.153</v>
      </c>
      <c r="R45" s="7">
        <v>1568.7719999999999</v>
      </c>
      <c r="S45" s="7">
        <v>1597.8530000000001</v>
      </c>
      <c r="T45" s="7">
        <v>1655.499</v>
      </c>
      <c r="U45" s="7">
        <v>1710.19</v>
      </c>
      <c r="V45" s="7">
        <v>1737.7860000000001</v>
      </c>
      <c r="W45" s="7">
        <v>1773.954</v>
      </c>
      <c r="X45" s="7">
        <v>1833.261</v>
      </c>
      <c r="Y45" s="7">
        <v>1941.692</v>
      </c>
      <c r="Z45" s="7">
        <v>2054.712</v>
      </c>
      <c r="AA45" s="7">
        <v>2148.3789999999999</v>
      </c>
      <c r="AB45" s="7">
        <v>2238.7130000000002</v>
      </c>
      <c r="AC45" s="7">
        <v>2321.7220000000002</v>
      </c>
      <c r="AD45" s="7">
        <v>2388.703</v>
      </c>
    </row>
    <row r="46" spans="1:30">
      <c r="A46" s="4">
        <v>392</v>
      </c>
      <c r="B46" s="5" t="s">
        <v>9</v>
      </c>
      <c r="C46" s="5" t="s">
        <v>32</v>
      </c>
      <c r="D46" s="4" t="s">
        <v>30</v>
      </c>
      <c r="E46" s="7">
        <v>305.17500000000001</v>
      </c>
      <c r="F46" s="7">
        <v>332.66800000000001</v>
      </c>
      <c r="G46" s="7">
        <v>370.75299999999999</v>
      </c>
      <c r="H46" s="7">
        <v>403.23399999999998</v>
      </c>
      <c r="I46" s="7">
        <v>419.65100000000001</v>
      </c>
      <c r="J46" s="7">
        <v>415.70800000000003</v>
      </c>
      <c r="K46" s="7">
        <v>452.923</v>
      </c>
      <c r="L46" s="7">
        <v>499.916</v>
      </c>
      <c r="M46" s="7">
        <v>537.82399999999996</v>
      </c>
      <c r="N46" s="7">
        <v>555.51900000000001</v>
      </c>
      <c r="O46" s="7">
        <v>549.49400000000003</v>
      </c>
      <c r="P46" s="7">
        <v>586.49300000000005</v>
      </c>
      <c r="Q46" s="7">
        <v>631.06600000000003</v>
      </c>
      <c r="R46" s="7">
        <v>665.21600000000001</v>
      </c>
      <c r="S46" s="7">
        <v>678.56899999999996</v>
      </c>
      <c r="T46" s="7">
        <v>667.98800000000006</v>
      </c>
      <c r="U46" s="7">
        <v>695.96799999999996</v>
      </c>
      <c r="V46" s="7">
        <v>730.58699999999999</v>
      </c>
      <c r="W46" s="7">
        <v>759.24300000000005</v>
      </c>
      <c r="X46" s="7">
        <v>772.97299999999996</v>
      </c>
      <c r="Y46" s="7">
        <v>766.72699999999998</v>
      </c>
      <c r="Z46" s="7">
        <v>800.67100000000005</v>
      </c>
      <c r="AA46" s="7">
        <v>847.82399999999996</v>
      </c>
      <c r="AB46" s="7">
        <v>892.39700000000005</v>
      </c>
      <c r="AC46" s="7">
        <v>922.24199999999996</v>
      </c>
      <c r="AD46" s="7">
        <v>930.86699999999996</v>
      </c>
    </row>
    <row r="47" spans="1:30">
      <c r="A47" s="4">
        <v>392</v>
      </c>
      <c r="B47" s="5" t="s">
        <v>9</v>
      </c>
      <c r="C47" s="5" t="s">
        <v>32</v>
      </c>
      <c r="D47" s="4" t="s">
        <v>31</v>
      </c>
      <c r="E47" s="7">
        <v>50.692</v>
      </c>
      <c r="F47" s="7">
        <v>54.851999999999997</v>
      </c>
      <c r="G47" s="7">
        <v>59.116999999999997</v>
      </c>
      <c r="H47" s="7">
        <v>63.558</v>
      </c>
      <c r="I47" s="7">
        <v>68.272999999999996</v>
      </c>
      <c r="J47" s="7">
        <v>73.325999999999993</v>
      </c>
      <c r="K47" s="7">
        <v>78.864000000000004</v>
      </c>
      <c r="L47" s="7">
        <v>84.763999999999996</v>
      </c>
      <c r="M47" s="7">
        <v>91.040999999999997</v>
      </c>
      <c r="N47" s="7">
        <v>97.700999999999993</v>
      </c>
      <c r="O47" s="7">
        <v>104.727</v>
      </c>
      <c r="P47" s="7">
        <v>112.33499999999999</v>
      </c>
      <c r="Q47" s="7">
        <v>120.32599999999999</v>
      </c>
      <c r="R47" s="7">
        <v>128.58000000000001</v>
      </c>
      <c r="S47" s="7">
        <v>136.93899999999999</v>
      </c>
      <c r="T47" s="7">
        <v>145.26300000000001</v>
      </c>
      <c r="U47" s="7">
        <v>153.90100000000001</v>
      </c>
      <c r="V47" s="7">
        <v>162.59200000000001</v>
      </c>
      <c r="W47" s="7">
        <v>171.184</v>
      </c>
      <c r="X47" s="7">
        <v>179.49199999999999</v>
      </c>
      <c r="Y47" s="7">
        <v>187.40600000000001</v>
      </c>
      <c r="Z47" s="7">
        <v>195.37799999999999</v>
      </c>
      <c r="AA47" s="7">
        <v>203.148</v>
      </c>
      <c r="AB47" s="7">
        <v>210.934</v>
      </c>
      <c r="AC47" s="7">
        <v>219.04300000000001</v>
      </c>
      <c r="AD47" s="7">
        <v>227.714</v>
      </c>
    </row>
    <row r="48" spans="1:30">
      <c r="A48" s="4">
        <v>392</v>
      </c>
      <c r="B48" s="5" t="s">
        <v>9</v>
      </c>
      <c r="C48" s="5" t="s">
        <v>33</v>
      </c>
      <c r="D48" s="4" t="s">
        <v>11</v>
      </c>
      <c r="E48" s="7">
        <v>2770.6869999999999</v>
      </c>
      <c r="F48" s="7">
        <v>2743.7779999999998</v>
      </c>
      <c r="G48" s="7">
        <v>2717.817</v>
      </c>
      <c r="H48" s="7">
        <v>2693.009</v>
      </c>
      <c r="I48" s="7">
        <v>2667.8229999999999</v>
      </c>
      <c r="J48" s="7">
        <v>2641.1660000000002</v>
      </c>
      <c r="K48" s="7">
        <v>2612.5129999999999</v>
      </c>
      <c r="L48" s="7">
        <v>2587.94</v>
      </c>
      <c r="M48" s="7">
        <v>2566.038</v>
      </c>
      <c r="N48" s="7">
        <v>2545.4</v>
      </c>
      <c r="O48" s="7">
        <v>2524.8069999999998</v>
      </c>
      <c r="P48" s="7">
        <v>2507.9369999999999</v>
      </c>
      <c r="Q48" s="7">
        <v>2491.9789999999998</v>
      </c>
      <c r="R48" s="7">
        <v>2476.7559999999999</v>
      </c>
      <c r="S48" s="7">
        <v>2462.4789999999998</v>
      </c>
      <c r="T48" s="7">
        <v>2449.2759999999998</v>
      </c>
      <c r="U48" s="7">
        <v>2440.402</v>
      </c>
      <c r="V48" s="7">
        <v>2431.8429999999998</v>
      </c>
      <c r="W48" s="7">
        <v>2423.6260000000002</v>
      </c>
      <c r="X48" s="7">
        <v>2415.625</v>
      </c>
      <c r="Y48" s="7">
        <v>2407.7080000000001</v>
      </c>
      <c r="Z48" s="7">
        <v>2402.261</v>
      </c>
      <c r="AA48" s="7">
        <v>2396.66</v>
      </c>
      <c r="AB48" s="7">
        <v>2390.7860000000001</v>
      </c>
      <c r="AC48" s="7">
        <v>2384.444</v>
      </c>
      <c r="AD48" s="7">
        <v>2377.36</v>
      </c>
    </row>
    <row r="49" spans="1:30">
      <c r="A49" s="4">
        <v>392</v>
      </c>
      <c r="B49" s="5" t="s">
        <v>9</v>
      </c>
      <c r="C49" s="5" t="s">
        <v>33</v>
      </c>
      <c r="D49" s="4" t="s">
        <v>12</v>
      </c>
      <c r="E49" s="7">
        <v>2854.8159999999998</v>
      </c>
      <c r="F49" s="7">
        <v>2845.5540000000001</v>
      </c>
      <c r="G49" s="7">
        <v>2832.2649999999999</v>
      </c>
      <c r="H49" s="7">
        <v>2814.723</v>
      </c>
      <c r="I49" s="7">
        <v>2794.02</v>
      </c>
      <c r="J49" s="7">
        <v>2772.0819999999999</v>
      </c>
      <c r="K49" s="7">
        <v>2751.4250000000002</v>
      </c>
      <c r="L49" s="7">
        <v>2727.2860000000001</v>
      </c>
      <c r="M49" s="7">
        <v>2700.1579999999999</v>
      </c>
      <c r="N49" s="7">
        <v>2671.3620000000001</v>
      </c>
      <c r="O49" s="7">
        <v>2642.8609999999999</v>
      </c>
      <c r="P49" s="7">
        <v>2617.817</v>
      </c>
      <c r="Q49" s="7">
        <v>2593.4760000000001</v>
      </c>
      <c r="R49" s="7">
        <v>2570.277</v>
      </c>
      <c r="S49" s="7">
        <v>2548.1590000000001</v>
      </c>
      <c r="T49" s="7">
        <v>2526.7249999999999</v>
      </c>
      <c r="U49" s="7">
        <v>2508.5430000000001</v>
      </c>
      <c r="V49" s="7">
        <v>2492.009</v>
      </c>
      <c r="W49" s="7">
        <v>2477.2739999999999</v>
      </c>
      <c r="X49" s="7">
        <v>2463.9740000000002</v>
      </c>
      <c r="Y49" s="7">
        <v>2451.3609999999999</v>
      </c>
      <c r="Z49" s="7">
        <v>2441.3910000000001</v>
      </c>
      <c r="AA49" s="7">
        <v>2432.4299999999998</v>
      </c>
      <c r="AB49" s="7">
        <v>2424.4259999999999</v>
      </c>
      <c r="AC49" s="7">
        <v>2417.09</v>
      </c>
      <c r="AD49" s="7">
        <v>2409.9340000000002</v>
      </c>
    </row>
    <row r="50" spans="1:30">
      <c r="A50" s="4">
        <v>392</v>
      </c>
      <c r="B50" s="5" t="s">
        <v>9</v>
      </c>
      <c r="C50" s="5" t="s">
        <v>33</v>
      </c>
      <c r="D50" s="4" t="s">
        <v>13</v>
      </c>
      <c r="E50" s="7">
        <v>2911.011</v>
      </c>
      <c r="F50" s="7">
        <v>2895.0990000000002</v>
      </c>
      <c r="G50" s="7">
        <v>2884.2489999999998</v>
      </c>
      <c r="H50" s="7">
        <v>2876.5250000000001</v>
      </c>
      <c r="I50" s="7">
        <v>2868.116</v>
      </c>
      <c r="J50" s="7">
        <v>2856.0569999999998</v>
      </c>
      <c r="K50" s="7">
        <v>2845.6529999999998</v>
      </c>
      <c r="L50" s="7">
        <v>2832.0740000000001</v>
      </c>
      <c r="M50" s="7">
        <v>2815.4780000000001</v>
      </c>
      <c r="N50" s="7">
        <v>2796.0210000000002</v>
      </c>
      <c r="O50" s="7">
        <v>2773.4720000000002</v>
      </c>
      <c r="P50" s="7">
        <v>2752.3069999999998</v>
      </c>
      <c r="Q50" s="7">
        <v>2727.9949999999999</v>
      </c>
      <c r="R50" s="7">
        <v>2701.09</v>
      </c>
      <c r="S50" s="7">
        <v>2672.8330000000001</v>
      </c>
      <c r="T50" s="7">
        <v>2644.413</v>
      </c>
      <c r="U50" s="7">
        <v>2620.607</v>
      </c>
      <c r="V50" s="7">
        <v>2597.0619999999999</v>
      </c>
      <c r="W50" s="7">
        <v>2573.7159999999999</v>
      </c>
      <c r="X50" s="7">
        <v>2550.69</v>
      </c>
      <c r="Y50" s="7">
        <v>2528.3969999999999</v>
      </c>
      <c r="Z50" s="7">
        <v>2511.4349999999999</v>
      </c>
      <c r="AA50" s="7">
        <v>2495.7260000000001</v>
      </c>
      <c r="AB50" s="7">
        <v>2480.91</v>
      </c>
      <c r="AC50" s="7">
        <v>2466.7139999999999</v>
      </c>
      <c r="AD50" s="7">
        <v>2453.1350000000002</v>
      </c>
    </row>
    <row r="51" spans="1:30">
      <c r="A51" s="4">
        <v>392</v>
      </c>
      <c r="B51" s="5" t="s">
        <v>9</v>
      </c>
      <c r="C51" s="5" t="s">
        <v>33</v>
      </c>
      <c r="D51" s="4" t="s">
        <v>14</v>
      </c>
      <c r="E51" s="7">
        <v>3068.6419999999998</v>
      </c>
      <c r="F51" s="7">
        <v>3048.3470000000002</v>
      </c>
      <c r="G51" s="7">
        <v>3018.0509999999999</v>
      </c>
      <c r="H51" s="7">
        <v>2982.069</v>
      </c>
      <c r="I51" s="7">
        <v>2948.2750000000001</v>
      </c>
      <c r="J51" s="7">
        <v>2921.473</v>
      </c>
      <c r="K51" s="7">
        <v>2905.0569999999998</v>
      </c>
      <c r="L51" s="7">
        <v>2894.4690000000001</v>
      </c>
      <c r="M51" s="7">
        <v>2887.1660000000002</v>
      </c>
      <c r="N51" s="7">
        <v>2878.89</v>
      </c>
      <c r="O51" s="7">
        <v>2866.7979999999998</v>
      </c>
      <c r="P51" s="7">
        <v>2856.145</v>
      </c>
      <c r="Q51" s="7">
        <v>2842.9470000000001</v>
      </c>
      <c r="R51" s="7">
        <v>2826.6860000000001</v>
      </c>
      <c r="S51" s="7">
        <v>2807.1950000000002</v>
      </c>
      <c r="T51" s="7">
        <v>2784.4479999999999</v>
      </c>
      <c r="U51" s="7">
        <v>2762.9580000000001</v>
      </c>
      <c r="V51" s="7">
        <v>2738.57</v>
      </c>
      <c r="W51" s="7">
        <v>2711.8339999999998</v>
      </c>
      <c r="X51" s="7">
        <v>2683.913</v>
      </c>
      <c r="Y51" s="7">
        <v>2655.645</v>
      </c>
      <c r="Z51" s="7">
        <v>2631.4459999999999</v>
      </c>
      <c r="AA51" s="7">
        <v>2607.7689999999998</v>
      </c>
      <c r="AB51" s="7">
        <v>2584.5500000000002</v>
      </c>
      <c r="AC51" s="7">
        <v>2561.8739999999998</v>
      </c>
      <c r="AD51" s="7">
        <v>2539.8380000000002</v>
      </c>
    </row>
    <row r="52" spans="1:30">
      <c r="A52" s="4">
        <v>392</v>
      </c>
      <c r="B52" s="5" t="s">
        <v>9</v>
      </c>
      <c r="C52" s="5" t="s">
        <v>33</v>
      </c>
      <c r="D52" s="4" t="s">
        <v>15</v>
      </c>
      <c r="E52" s="7">
        <v>3148.1709999999998</v>
      </c>
      <c r="F52" s="7">
        <v>3123.5059999999999</v>
      </c>
      <c r="G52" s="7">
        <v>3112.3539999999998</v>
      </c>
      <c r="H52" s="7">
        <v>3108.433</v>
      </c>
      <c r="I52" s="7">
        <v>3101.7460000000001</v>
      </c>
      <c r="J52" s="7">
        <v>3085.85</v>
      </c>
      <c r="K52" s="7">
        <v>3064.3420000000001</v>
      </c>
      <c r="L52" s="7">
        <v>3033.5010000000002</v>
      </c>
      <c r="M52" s="7">
        <v>2997.86</v>
      </c>
      <c r="N52" s="7">
        <v>2965.0569999999998</v>
      </c>
      <c r="O52" s="7">
        <v>2939.4520000000002</v>
      </c>
      <c r="P52" s="7">
        <v>2922.1179999999999</v>
      </c>
      <c r="Q52" s="7">
        <v>2911.1370000000002</v>
      </c>
      <c r="R52" s="7">
        <v>2904.03</v>
      </c>
      <c r="S52" s="7">
        <v>2896.4380000000001</v>
      </c>
      <c r="T52" s="7">
        <v>2885.2809999999999</v>
      </c>
      <c r="U52" s="7">
        <v>2873.7190000000001</v>
      </c>
      <c r="V52" s="7">
        <v>2860.0309999999999</v>
      </c>
      <c r="W52" s="7">
        <v>2843.9079999999999</v>
      </c>
      <c r="X52" s="7">
        <v>2825.145</v>
      </c>
      <c r="Y52" s="7">
        <v>2803.4360000000001</v>
      </c>
      <c r="Z52" s="7">
        <v>2780.944</v>
      </c>
      <c r="AA52" s="7">
        <v>2756.0120000000002</v>
      </c>
      <c r="AB52" s="7">
        <v>2729.393</v>
      </c>
      <c r="AC52" s="7">
        <v>2702.2460000000001</v>
      </c>
      <c r="AD52" s="7">
        <v>2675.163</v>
      </c>
    </row>
    <row r="53" spans="1:30">
      <c r="A53" s="4">
        <v>392</v>
      </c>
      <c r="B53" s="5" t="s">
        <v>9</v>
      </c>
      <c r="C53" s="5" t="s">
        <v>33</v>
      </c>
      <c r="D53" s="4" t="s">
        <v>16</v>
      </c>
      <c r="E53" s="7">
        <v>3461.277</v>
      </c>
      <c r="F53" s="7">
        <v>3388.1149999999998</v>
      </c>
      <c r="G53" s="7">
        <v>3318.259</v>
      </c>
      <c r="H53" s="7">
        <v>3254.6990000000001</v>
      </c>
      <c r="I53" s="7">
        <v>3201.8330000000001</v>
      </c>
      <c r="J53" s="7">
        <v>3161.9079999999999</v>
      </c>
      <c r="K53" s="7">
        <v>3136.915</v>
      </c>
      <c r="L53" s="7">
        <v>3125.7539999999999</v>
      </c>
      <c r="M53" s="7">
        <v>3122.0819999999999</v>
      </c>
      <c r="N53" s="7">
        <v>3115.7710000000002</v>
      </c>
      <c r="O53" s="7">
        <v>3100.4110000000001</v>
      </c>
      <c r="P53" s="7">
        <v>3078.848</v>
      </c>
      <c r="Q53" s="7">
        <v>3048.2260000000001</v>
      </c>
      <c r="R53" s="7">
        <v>3012.819</v>
      </c>
      <c r="S53" s="7">
        <v>2980.192</v>
      </c>
      <c r="T53" s="7">
        <v>2954.922</v>
      </c>
      <c r="U53" s="7">
        <v>2937.5569999999998</v>
      </c>
      <c r="V53" s="7">
        <v>2926.6489999999999</v>
      </c>
      <c r="W53" s="7">
        <v>2919.6309999999999</v>
      </c>
      <c r="X53" s="7">
        <v>2912.183</v>
      </c>
      <c r="Y53" s="7">
        <v>2901.43</v>
      </c>
      <c r="Z53" s="7">
        <v>2889.701</v>
      </c>
      <c r="AA53" s="7">
        <v>2875.998</v>
      </c>
      <c r="AB53" s="7">
        <v>2859.9290000000001</v>
      </c>
      <c r="AC53" s="7">
        <v>2841.3580000000002</v>
      </c>
      <c r="AD53" s="7">
        <v>2820.2159999999999</v>
      </c>
    </row>
    <row r="54" spans="1:30">
      <c r="A54" s="4">
        <v>392</v>
      </c>
      <c r="B54" s="5" t="s">
        <v>9</v>
      </c>
      <c r="C54" s="5" t="s">
        <v>33</v>
      </c>
      <c r="D54" s="4" t="s">
        <v>17</v>
      </c>
      <c r="E54" s="7">
        <v>3893.0079999999998</v>
      </c>
      <c r="F54" s="7">
        <v>3811.5709999999999</v>
      </c>
      <c r="G54" s="7">
        <v>3724.75</v>
      </c>
      <c r="H54" s="7">
        <v>3635.2950000000001</v>
      </c>
      <c r="I54" s="7">
        <v>3548.527</v>
      </c>
      <c r="J54" s="7">
        <v>3467.9549999999999</v>
      </c>
      <c r="K54" s="7">
        <v>3394.616</v>
      </c>
      <c r="L54" s="7">
        <v>3324.9279999999999</v>
      </c>
      <c r="M54" s="7">
        <v>3261.8670000000002</v>
      </c>
      <c r="N54" s="7">
        <v>3209.616</v>
      </c>
      <c r="O54" s="7">
        <v>3170.2220000000002</v>
      </c>
      <c r="P54" s="7">
        <v>3145.25</v>
      </c>
      <c r="Q54" s="7">
        <v>3134.2829999999999</v>
      </c>
      <c r="R54" s="7">
        <v>3130.82</v>
      </c>
      <c r="S54" s="7">
        <v>3124.69</v>
      </c>
      <c r="T54" s="7">
        <v>3109.5160000000001</v>
      </c>
      <c r="U54" s="7">
        <v>3087.998</v>
      </c>
      <c r="V54" s="7">
        <v>3057.5070000000001</v>
      </c>
      <c r="W54" s="7">
        <v>3022.299</v>
      </c>
      <c r="X54" s="7">
        <v>2989.9319999999998</v>
      </c>
      <c r="Y54" s="7">
        <v>2964.9679999999998</v>
      </c>
      <c r="Z54" s="7">
        <v>2947.5630000000001</v>
      </c>
      <c r="AA54" s="7">
        <v>2936.6750000000002</v>
      </c>
      <c r="AB54" s="7">
        <v>2929.7289999999998</v>
      </c>
      <c r="AC54" s="7">
        <v>2922.4749999999999</v>
      </c>
      <c r="AD54" s="7">
        <v>2912.098</v>
      </c>
    </row>
    <row r="55" spans="1:30">
      <c r="A55" s="4">
        <v>392</v>
      </c>
      <c r="B55" s="5" t="s">
        <v>9</v>
      </c>
      <c r="C55" s="5" t="s">
        <v>33</v>
      </c>
      <c r="D55" s="4" t="s">
        <v>18</v>
      </c>
      <c r="E55" s="7">
        <v>4318.1499999999996</v>
      </c>
      <c r="F55" s="7">
        <v>4186.99</v>
      </c>
      <c r="G55" s="7">
        <v>4095.431</v>
      </c>
      <c r="H55" s="7">
        <v>4030.6190000000001</v>
      </c>
      <c r="I55" s="7">
        <v>3967.4540000000002</v>
      </c>
      <c r="J55" s="7">
        <v>3890.52</v>
      </c>
      <c r="K55" s="7">
        <v>3808.864</v>
      </c>
      <c r="L55" s="7">
        <v>3722.326</v>
      </c>
      <c r="M55" s="7">
        <v>3633.616</v>
      </c>
      <c r="N55" s="7">
        <v>3547.7579999999998</v>
      </c>
      <c r="O55" s="7">
        <v>3467.9789999999998</v>
      </c>
      <c r="P55" s="7">
        <v>3394.8290000000002</v>
      </c>
      <c r="Q55" s="7">
        <v>3325.58</v>
      </c>
      <c r="R55" s="7">
        <v>3262.9859999999999</v>
      </c>
      <c r="S55" s="7">
        <v>3211.1190000000001</v>
      </c>
      <c r="T55" s="7">
        <v>3172.0259999999998</v>
      </c>
      <c r="U55" s="7">
        <v>3147.143</v>
      </c>
      <c r="V55" s="7">
        <v>3136.317</v>
      </c>
      <c r="W55" s="7">
        <v>3133.0369999999998</v>
      </c>
      <c r="X55" s="7">
        <v>3127.134</v>
      </c>
      <c r="Y55" s="7">
        <v>3112.23</v>
      </c>
      <c r="Z55" s="7">
        <v>3090.663</v>
      </c>
      <c r="AA55" s="7">
        <v>3060.2820000000002</v>
      </c>
      <c r="AB55" s="7">
        <v>3025.2959999999998</v>
      </c>
      <c r="AC55" s="7">
        <v>2993.2620000000002</v>
      </c>
      <c r="AD55" s="7">
        <v>2968.73</v>
      </c>
    </row>
    <row r="56" spans="1:30">
      <c r="A56" s="4">
        <v>392</v>
      </c>
      <c r="B56" s="5" t="s">
        <v>9</v>
      </c>
      <c r="C56" s="5" t="s">
        <v>33</v>
      </c>
      <c r="D56" s="4" t="s">
        <v>19</v>
      </c>
      <c r="E56" s="7">
        <v>5118.4369999999999</v>
      </c>
      <c r="F56" s="7">
        <v>5058.9949999999999</v>
      </c>
      <c r="G56" s="7">
        <v>4901.8990000000003</v>
      </c>
      <c r="H56" s="7">
        <v>4685.3040000000001</v>
      </c>
      <c r="I56" s="7">
        <v>4472.38</v>
      </c>
      <c r="J56" s="7">
        <v>4303.0469999999996</v>
      </c>
      <c r="K56" s="7">
        <v>4172.2780000000002</v>
      </c>
      <c r="L56" s="7">
        <v>4081.33</v>
      </c>
      <c r="M56" s="7">
        <v>4017.3130000000001</v>
      </c>
      <c r="N56" s="7">
        <v>3955.08</v>
      </c>
      <c r="O56" s="7">
        <v>3879.145</v>
      </c>
      <c r="P56" s="7">
        <v>3797.7640000000001</v>
      </c>
      <c r="Q56" s="7">
        <v>3711.9270000000001</v>
      </c>
      <c r="R56" s="7">
        <v>3624.0610000000001</v>
      </c>
      <c r="S56" s="7">
        <v>3538.9969999999998</v>
      </c>
      <c r="T56" s="7">
        <v>3459.922</v>
      </c>
      <c r="U56" s="7">
        <v>3387.1060000000002</v>
      </c>
      <c r="V56" s="7">
        <v>3318.3240000000001</v>
      </c>
      <c r="W56" s="7">
        <v>3256.2620000000002</v>
      </c>
      <c r="X56" s="7">
        <v>3204.9459999999999</v>
      </c>
      <c r="Y56" s="7">
        <v>3166.386</v>
      </c>
      <c r="Z56" s="7">
        <v>3141.5239999999999</v>
      </c>
      <c r="AA56" s="7">
        <v>3130.8339999999998</v>
      </c>
      <c r="AB56" s="7">
        <v>3127.76</v>
      </c>
      <c r="AC56" s="7">
        <v>3122.1880000000001</v>
      </c>
      <c r="AD56" s="7">
        <v>3107.7820000000002</v>
      </c>
    </row>
    <row r="57" spans="1:30">
      <c r="A57" s="4">
        <v>392</v>
      </c>
      <c r="B57" s="5" t="s">
        <v>9</v>
      </c>
      <c r="C57" s="5" t="s">
        <v>33</v>
      </c>
      <c r="D57" s="4" t="s">
        <v>20</v>
      </c>
      <c r="E57" s="7">
        <v>4409.366</v>
      </c>
      <c r="F57" s="7">
        <v>4555.7839999999997</v>
      </c>
      <c r="G57" s="7">
        <v>4741.4610000000002</v>
      </c>
      <c r="H57" s="7">
        <v>4927.0870000000004</v>
      </c>
      <c r="I57" s="7">
        <v>5052.2629999999999</v>
      </c>
      <c r="J57" s="7">
        <v>5081.0309999999999</v>
      </c>
      <c r="K57" s="7">
        <v>5020.9520000000002</v>
      </c>
      <c r="L57" s="7">
        <v>4865.0039999999999</v>
      </c>
      <c r="M57" s="7">
        <v>4651.0950000000003</v>
      </c>
      <c r="N57" s="7">
        <v>4441.3850000000002</v>
      </c>
      <c r="O57" s="7">
        <v>4274.902</v>
      </c>
      <c r="P57" s="7">
        <v>4145.3599999999997</v>
      </c>
      <c r="Q57" s="7">
        <v>4055.5929999999998</v>
      </c>
      <c r="R57" s="7">
        <v>3992.509</v>
      </c>
      <c r="S57" s="7">
        <v>3931.1610000000001</v>
      </c>
      <c r="T57" s="7">
        <v>3856.3159999999998</v>
      </c>
      <c r="U57" s="7">
        <v>3775.42</v>
      </c>
      <c r="V57" s="7">
        <v>3690.3980000000001</v>
      </c>
      <c r="W57" s="7">
        <v>3603.6149999999998</v>
      </c>
      <c r="X57" s="7">
        <v>3519.7669999999998</v>
      </c>
      <c r="Y57" s="7">
        <v>3441.9</v>
      </c>
      <c r="Z57" s="7">
        <v>3369.442</v>
      </c>
      <c r="AA57" s="7">
        <v>3301.2190000000001</v>
      </c>
      <c r="AB57" s="7">
        <v>3239.864</v>
      </c>
      <c r="AC57" s="7">
        <v>3189.3969999999999</v>
      </c>
      <c r="AD57" s="7">
        <v>3151.8029999999999</v>
      </c>
    </row>
    <row r="58" spans="1:30">
      <c r="A58" s="4">
        <v>392</v>
      </c>
      <c r="B58" s="5" t="s">
        <v>9</v>
      </c>
      <c r="C58" s="5" t="s">
        <v>33</v>
      </c>
      <c r="D58" s="4" t="s">
        <v>21</v>
      </c>
      <c r="E58" s="7">
        <v>4037.701</v>
      </c>
      <c r="F58" s="7">
        <v>4083.9290000000001</v>
      </c>
      <c r="G58" s="7">
        <v>4123.5259999999998</v>
      </c>
      <c r="H58" s="7">
        <v>4169.1049999999996</v>
      </c>
      <c r="I58" s="7">
        <v>4242.5820000000003</v>
      </c>
      <c r="J58" s="7">
        <v>4354.0889999999999</v>
      </c>
      <c r="K58" s="7">
        <v>4498.4520000000002</v>
      </c>
      <c r="L58" s="7">
        <v>4682.4309999999996</v>
      </c>
      <c r="M58" s="7">
        <v>4866.9369999999999</v>
      </c>
      <c r="N58" s="7">
        <v>4991.8429999999998</v>
      </c>
      <c r="O58" s="7">
        <v>5021.3739999999998</v>
      </c>
      <c r="P58" s="7">
        <v>4961.3609999999999</v>
      </c>
      <c r="Q58" s="7">
        <v>4807.6480000000001</v>
      </c>
      <c r="R58" s="7">
        <v>4597.4040000000005</v>
      </c>
      <c r="S58" s="7">
        <v>4391.6809999999996</v>
      </c>
      <c r="T58" s="7">
        <v>4228.7700000000004</v>
      </c>
      <c r="U58" s="7">
        <v>4101.3190000000004</v>
      </c>
      <c r="V58" s="7">
        <v>4013.2620000000002</v>
      </c>
      <c r="W58" s="7">
        <v>3951.4290000000001</v>
      </c>
      <c r="X58" s="7">
        <v>3891.3270000000002</v>
      </c>
      <c r="Y58" s="7">
        <v>3818.1289999999999</v>
      </c>
      <c r="Z58" s="7">
        <v>3737.9690000000001</v>
      </c>
      <c r="AA58" s="7">
        <v>3654.1689999999999</v>
      </c>
      <c r="AB58" s="7">
        <v>3568.9140000000002</v>
      </c>
      <c r="AC58" s="7">
        <v>3486.7629999999999</v>
      </c>
      <c r="AD58" s="7">
        <v>3410.7060000000001</v>
      </c>
    </row>
    <row r="59" spans="1:30">
      <c r="A59" s="4">
        <v>392</v>
      </c>
      <c r="B59" s="5" t="s">
        <v>9</v>
      </c>
      <c r="C59" s="5" t="s">
        <v>33</v>
      </c>
      <c r="D59" s="4" t="s">
        <v>22</v>
      </c>
      <c r="E59" s="7">
        <v>3849.4960000000001</v>
      </c>
      <c r="F59" s="7">
        <v>3814.96</v>
      </c>
      <c r="G59" s="7">
        <v>3821.8240000000001</v>
      </c>
      <c r="H59" s="7">
        <v>3858.5990000000002</v>
      </c>
      <c r="I59" s="7">
        <v>3906.7620000000002</v>
      </c>
      <c r="J59" s="7">
        <v>3954.8389999999999</v>
      </c>
      <c r="K59" s="7">
        <v>3999.3649999999998</v>
      </c>
      <c r="L59" s="7">
        <v>4038.3629999999998</v>
      </c>
      <c r="M59" s="7">
        <v>4084.3829999999998</v>
      </c>
      <c r="N59" s="7">
        <v>4158.6880000000001</v>
      </c>
      <c r="O59" s="7">
        <v>4270.777</v>
      </c>
      <c r="P59" s="7">
        <v>4412.7060000000001</v>
      </c>
      <c r="Q59" s="7">
        <v>4594.4089999999997</v>
      </c>
      <c r="R59" s="7">
        <v>4777.0079999999998</v>
      </c>
      <c r="S59" s="7">
        <v>4901.0619999999999</v>
      </c>
      <c r="T59" s="7">
        <v>4931.4139999999998</v>
      </c>
      <c r="U59" s="7">
        <v>4871.6080000000002</v>
      </c>
      <c r="V59" s="7">
        <v>4720.8159999999998</v>
      </c>
      <c r="W59" s="7">
        <v>4515.7359999999999</v>
      </c>
      <c r="X59" s="7">
        <v>4316.0429999999997</v>
      </c>
      <c r="Y59" s="7">
        <v>4158.7489999999998</v>
      </c>
      <c r="Z59" s="7">
        <v>4034.1010000000001</v>
      </c>
      <c r="AA59" s="7">
        <v>3948.2420000000002</v>
      </c>
      <c r="AB59" s="7">
        <v>3888.127</v>
      </c>
      <c r="AC59" s="7">
        <v>3830.0140000000001</v>
      </c>
      <c r="AD59" s="7">
        <v>3759.6</v>
      </c>
    </row>
    <row r="60" spans="1:30">
      <c r="A60" s="4">
        <v>392</v>
      </c>
      <c r="B60" s="5" t="s">
        <v>9</v>
      </c>
      <c r="C60" s="5" t="s">
        <v>33</v>
      </c>
      <c r="D60" s="4" t="s">
        <v>23</v>
      </c>
      <c r="E60" s="7">
        <v>4303.6170000000002</v>
      </c>
      <c r="F60" s="7">
        <v>4150.0590000000002</v>
      </c>
      <c r="G60" s="7">
        <v>4006.422</v>
      </c>
      <c r="H60" s="7">
        <v>3881.1619999999998</v>
      </c>
      <c r="I60" s="7">
        <v>3784.2260000000001</v>
      </c>
      <c r="J60" s="7">
        <v>3721.6550000000002</v>
      </c>
      <c r="K60" s="7">
        <v>3689.069</v>
      </c>
      <c r="L60" s="7">
        <v>3696.9650000000001</v>
      </c>
      <c r="M60" s="7">
        <v>3734.38</v>
      </c>
      <c r="N60" s="7">
        <v>3783.2979999999998</v>
      </c>
      <c r="O60" s="7">
        <v>3832.473</v>
      </c>
      <c r="P60" s="7">
        <v>3875.721</v>
      </c>
      <c r="Q60" s="7">
        <v>3914.3180000000002</v>
      </c>
      <c r="R60" s="7">
        <v>3960.654</v>
      </c>
      <c r="S60" s="7">
        <v>4035.3339999999998</v>
      </c>
      <c r="T60" s="7">
        <v>4147.357</v>
      </c>
      <c r="U60" s="7">
        <v>4286.5439999999999</v>
      </c>
      <c r="V60" s="7">
        <v>4465.0150000000003</v>
      </c>
      <c r="W60" s="7">
        <v>4644.6949999999997</v>
      </c>
      <c r="X60" s="7">
        <v>4767.3639999999996</v>
      </c>
      <c r="Y60" s="7">
        <v>4798.7299999999996</v>
      </c>
      <c r="Z60" s="7">
        <v>4739.6549999999997</v>
      </c>
      <c r="AA60" s="7">
        <v>4593.1620000000003</v>
      </c>
      <c r="AB60" s="7">
        <v>4395.4340000000002</v>
      </c>
      <c r="AC60" s="7">
        <v>4204.223</v>
      </c>
      <c r="AD60" s="7">
        <v>4054.7829999999999</v>
      </c>
    </row>
    <row r="61" spans="1:30">
      <c r="A61" s="4">
        <v>392</v>
      </c>
      <c r="B61" s="5" t="s">
        <v>9</v>
      </c>
      <c r="C61" s="5" t="s">
        <v>33</v>
      </c>
      <c r="D61" s="4" t="s">
        <v>24</v>
      </c>
      <c r="E61" s="7">
        <v>4655.8360000000002</v>
      </c>
      <c r="F61" s="7">
        <v>4628.6890000000003</v>
      </c>
      <c r="G61" s="7">
        <v>4528.87</v>
      </c>
      <c r="H61" s="7">
        <v>4380.8710000000001</v>
      </c>
      <c r="I61" s="7">
        <v>4223.0079999999998</v>
      </c>
      <c r="J61" s="7">
        <v>4079.5369999999998</v>
      </c>
      <c r="K61" s="7">
        <v>3936.57</v>
      </c>
      <c r="L61" s="7">
        <v>3803.241</v>
      </c>
      <c r="M61" s="7">
        <v>3686.9090000000001</v>
      </c>
      <c r="N61" s="7">
        <v>3597.51</v>
      </c>
      <c r="O61" s="7">
        <v>3541.5590000000002</v>
      </c>
      <c r="P61" s="7">
        <v>3512.828</v>
      </c>
      <c r="Q61" s="7">
        <v>3523.375</v>
      </c>
      <c r="R61" s="7">
        <v>3561.7040000000002</v>
      </c>
      <c r="S61" s="7">
        <v>3610.4679999999998</v>
      </c>
      <c r="T61" s="7">
        <v>3659.5160000000001</v>
      </c>
      <c r="U61" s="7">
        <v>3702.0230000000001</v>
      </c>
      <c r="V61" s="7">
        <v>3740.9850000000001</v>
      </c>
      <c r="W61" s="7">
        <v>3787.92</v>
      </c>
      <c r="X61" s="7">
        <v>3862.4789999999998</v>
      </c>
      <c r="Y61" s="7">
        <v>3973.38</v>
      </c>
      <c r="Z61" s="7">
        <v>4109.3370000000004</v>
      </c>
      <c r="AA61" s="7">
        <v>4284.049</v>
      </c>
      <c r="AB61" s="7">
        <v>4459.6099999999997</v>
      </c>
      <c r="AC61" s="7">
        <v>4579.4719999999998</v>
      </c>
      <c r="AD61" s="7">
        <v>4611.1880000000001</v>
      </c>
    </row>
    <row r="62" spans="1:30">
      <c r="A62" s="4">
        <v>392</v>
      </c>
      <c r="B62" s="5" t="s">
        <v>9</v>
      </c>
      <c r="C62" s="5" t="s">
        <v>33</v>
      </c>
      <c r="D62" s="4" t="s">
        <v>25</v>
      </c>
      <c r="E62" s="7">
        <v>3584.05</v>
      </c>
      <c r="F62" s="7">
        <v>3727.2950000000001</v>
      </c>
      <c r="G62" s="7">
        <v>3908.9940000000001</v>
      </c>
      <c r="H62" s="7">
        <v>4093.5239999999999</v>
      </c>
      <c r="I62" s="7">
        <v>4229.9859999999999</v>
      </c>
      <c r="J62" s="7">
        <v>4289.95</v>
      </c>
      <c r="K62" s="7">
        <v>4261.9669999999996</v>
      </c>
      <c r="L62" s="7">
        <v>4171.7640000000001</v>
      </c>
      <c r="M62" s="7">
        <v>4041.6149999999998</v>
      </c>
      <c r="N62" s="7">
        <v>3905.0729999999999</v>
      </c>
      <c r="O62" s="7">
        <v>3782.3580000000002</v>
      </c>
      <c r="P62" s="7">
        <v>3651.63</v>
      </c>
      <c r="Q62" s="7">
        <v>3530.9059999999999</v>
      </c>
      <c r="R62" s="7">
        <v>3425.99</v>
      </c>
      <c r="S62" s="7">
        <v>3347.2579999999998</v>
      </c>
      <c r="T62" s="7">
        <v>3301.8240000000001</v>
      </c>
      <c r="U62" s="7">
        <v>3276.3470000000002</v>
      </c>
      <c r="V62" s="7">
        <v>3289.424</v>
      </c>
      <c r="W62" s="7">
        <v>3329.0369999999998</v>
      </c>
      <c r="X62" s="7">
        <v>3378.93</v>
      </c>
      <c r="Y62" s="7">
        <v>3430.0360000000001</v>
      </c>
      <c r="Z62" s="7">
        <v>3468.7350000000001</v>
      </c>
      <c r="AA62" s="7">
        <v>3506.7649999999999</v>
      </c>
      <c r="AB62" s="7">
        <v>3554.5349999999999</v>
      </c>
      <c r="AC62" s="7">
        <v>3630.3589999999999</v>
      </c>
      <c r="AD62" s="7">
        <v>3742.002</v>
      </c>
    </row>
    <row r="63" spans="1:30">
      <c r="A63" s="4">
        <v>392</v>
      </c>
      <c r="B63" s="5" t="s">
        <v>9</v>
      </c>
      <c r="C63" s="5" t="s">
        <v>33</v>
      </c>
      <c r="D63" s="4" t="s">
        <v>26</v>
      </c>
      <c r="E63" s="7">
        <v>2769.5590000000002</v>
      </c>
      <c r="F63" s="7">
        <v>2812.5140000000001</v>
      </c>
      <c r="G63" s="7">
        <v>2857.1489999999999</v>
      </c>
      <c r="H63" s="7">
        <v>2915.4940000000001</v>
      </c>
      <c r="I63" s="7">
        <v>3005.1640000000002</v>
      </c>
      <c r="J63" s="7">
        <v>3132.768</v>
      </c>
      <c r="K63" s="7">
        <v>3260.4609999999998</v>
      </c>
      <c r="L63" s="7">
        <v>3424.9259999999999</v>
      </c>
      <c r="M63" s="7">
        <v>3594.8319999999999</v>
      </c>
      <c r="N63" s="7">
        <v>3724.4479999999999</v>
      </c>
      <c r="O63" s="7">
        <v>3788.143</v>
      </c>
      <c r="P63" s="7">
        <v>3756.652</v>
      </c>
      <c r="Q63" s="7">
        <v>3676.3090000000002</v>
      </c>
      <c r="R63" s="7">
        <v>3568.913</v>
      </c>
      <c r="S63" s="7">
        <v>3462.2860000000001</v>
      </c>
      <c r="T63" s="7">
        <v>3370.4229999999998</v>
      </c>
      <c r="U63" s="7">
        <v>3254.9609999999998</v>
      </c>
      <c r="V63" s="7">
        <v>3148.5210000000002</v>
      </c>
      <c r="W63" s="7">
        <v>3058.085</v>
      </c>
      <c r="X63" s="7">
        <v>2995.663</v>
      </c>
      <c r="Y63" s="7">
        <v>2968.2620000000002</v>
      </c>
      <c r="Z63" s="7">
        <v>2945.759</v>
      </c>
      <c r="AA63" s="7">
        <v>2959.72</v>
      </c>
      <c r="AB63" s="7">
        <v>2999.4380000000001</v>
      </c>
      <c r="AC63" s="7">
        <v>3051.3240000000001</v>
      </c>
      <c r="AD63" s="7">
        <v>3107.893</v>
      </c>
    </row>
    <row r="64" spans="1:30">
      <c r="A64" s="4">
        <v>392</v>
      </c>
      <c r="B64" s="5" t="s">
        <v>9</v>
      </c>
      <c r="C64" s="5" t="s">
        <v>33</v>
      </c>
      <c r="D64" s="4" t="s">
        <v>27</v>
      </c>
      <c r="E64" s="7">
        <v>1941.5260000000001</v>
      </c>
      <c r="F64" s="7">
        <v>1979.9190000000001</v>
      </c>
      <c r="G64" s="7">
        <v>2017.6420000000001</v>
      </c>
      <c r="H64" s="7">
        <v>2060.39</v>
      </c>
      <c r="I64" s="7">
        <v>2111.7930000000001</v>
      </c>
      <c r="J64" s="7">
        <v>2173.2179999999998</v>
      </c>
      <c r="K64" s="7">
        <v>2213.2069999999999</v>
      </c>
      <c r="L64" s="7">
        <v>2251.3710000000001</v>
      </c>
      <c r="M64" s="7">
        <v>2301.915</v>
      </c>
      <c r="N64" s="7">
        <v>2382.4899999999998</v>
      </c>
      <c r="O64" s="7">
        <v>2499.614</v>
      </c>
      <c r="P64" s="7">
        <v>2612.4940000000001</v>
      </c>
      <c r="Q64" s="7">
        <v>2754.1109999999999</v>
      </c>
      <c r="R64" s="7">
        <v>2899.1979999999999</v>
      </c>
      <c r="S64" s="7">
        <v>3010.2249999999999</v>
      </c>
      <c r="T64" s="7">
        <v>3068.0929999999998</v>
      </c>
      <c r="U64" s="7">
        <v>3040.2</v>
      </c>
      <c r="V64" s="7">
        <v>2976.4189999999999</v>
      </c>
      <c r="W64" s="7">
        <v>2898.6590000000001</v>
      </c>
      <c r="X64" s="7">
        <v>2827.4520000000002</v>
      </c>
      <c r="Y64" s="7">
        <v>2769.9949999999999</v>
      </c>
      <c r="Z64" s="7">
        <v>2679.6590000000001</v>
      </c>
      <c r="AA64" s="7">
        <v>2593.0250000000001</v>
      </c>
      <c r="AB64" s="7">
        <v>2521.3690000000001</v>
      </c>
      <c r="AC64" s="7">
        <v>2478.866</v>
      </c>
      <c r="AD64" s="7">
        <v>2471.94</v>
      </c>
    </row>
    <row r="65" spans="1:30">
      <c r="A65" s="4">
        <v>392</v>
      </c>
      <c r="B65" s="5" t="s">
        <v>9</v>
      </c>
      <c r="C65" s="5" t="s">
        <v>33</v>
      </c>
      <c r="D65" s="4" t="s">
        <v>28</v>
      </c>
      <c r="E65" s="7">
        <v>1032.415</v>
      </c>
      <c r="F65" s="7">
        <v>1089.9960000000001</v>
      </c>
      <c r="G65" s="7">
        <v>1137.771</v>
      </c>
      <c r="H65" s="7">
        <v>1176.24</v>
      </c>
      <c r="I65" s="7">
        <v>1213.394</v>
      </c>
      <c r="J65" s="7">
        <v>1251.761</v>
      </c>
      <c r="K65" s="7">
        <v>1294.8979999999999</v>
      </c>
      <c r="L65" s="7">
        <v>1330.3</v>
      </c>
      <c r="M65" s="7">
        <v>1360.5409999999999</v>
      </c>
      <c r="N65" s="7">
        <v>1394.9649999999999</v>
      </c>
      <c r="O65" s="7">
        <v>1437.5640000000001</v>
      </c>
      <c r="P65" s="7">
        <v>1482.354</v>
      </c>
      <c r="Q65" s="7">
        <v>1515.4490000000001</v>
      </c>
      <c r="R65" s="7">
        <v>1548.414</v>
      </c>
      <c r="S65" s="7">
        <v>1604.413</v>
      </c>
      <c r="T65" s="7">
        <v>1692.3889999999999</v>
      </c>
      <c r="U65" s="7">
        <v>1796.681</v>
      </c>
      <c r="V65" s="7">
        <v>1909.481</v>
      </c>
      <c r="W65" s="7">
        <v>2009.346</v>
      </c>
      <c r="X65" s="7">
        <v>2086.0650000000001</v>
      </c>
      <c r="Y65" s="7">
        <v>2125.4520000000002</v>
      </c>
      <c r="Z65" s="7">
        <v>2120.556</v>
      </c>
      <c r="AA65" s="7">
        <v>2087.3209999999999</v>
      </c>
      <c r="AB65" s="7">
        <v>2038.422</v>
      </c>
      <c r="AC65" s="7">
        <v>1992.078</v>
      </c>
      <c r="AD65" s="7">
        <v>1959.52</v>
      </c>
    </row>
    <row r="66" spans="1:30">
      <c r="A66" s="4">
        <v>392</v>
      </c>
      <c r="B66" s="5" t="s">
        <v>9</v>
      </c>
      <c r="C66" s="5" t="s">
        <v>33</v>
      </c>
      <c r="D66" s="4" t="s">
        <v>29</v>
      </c>
      <c r="E66" s="7">
        <v>324.07</v>
      </c>
      <c r="F66" s="7">
        <v>373.55399999999997</v>
      </c>
      <c r="G66" s="7">
        <v>412.33</v>
      </c>
      <c r="H66" s="7">
        <v>444.36900000000003</v>
      </c>
      <c r="I66" s="7">
        <v>466.58199999999999</v>
      </c>
      <c r="J66" s="7">
        <v>483.39600000000002</v>
      </c>
      <c r="K66" s="7">
        <v>534.27599999999995</v>
      </c>
      <c r="L66" s="7">
        <v>564.83199999999999</v>
      </c>
      <c r="M66" s="7">
        <v>585.33399999999995</v>
      </c>
      <c r="N66" s="7">
        <v>597.34400000000005</v>
      </c>
      <c r="O66" s="7">
        <v>607.279</v>
      </c>
      <c r="P66" s="7">
        <v>654.99199999999996</v>
      </c>
      <c r="Q66" s="7">
        <v>680.98099999999999</v>
      </c>
      <c r="R66" s="7">
        <v>697.68799999999999</v>
      </c>
      <c r="S66" s="7">
        <v>708.25099999999998</v>
      </c>
      <c r="T66" s="7">
        <v>720.50699999999995</v>
      </c>
      <c r="U66" s="7">
        <v>771.13300000000004</v>
      </c>
      <c r="V66" s="7">
        <v>795.79</v>
      </c>
      <c r="W66" s="7">
        <v>815.53899999999999</v>
      </c>
      <c r="X66" s="7">
        <v>835.93299999999999</v>
      </c>
      <c r="Y66" s="7">
        <v>876.21699999999998</v>
      </c>
      <c r="Z66" s="7">
        <v>969.30799999999999</v>
      </c>
      <c r="AA66" s="7">
        <v>1038.6079999999999</v>
      </c>
      <c r="AB66" s="7">
        <v>1090.652</v>
      </c>
      <c r="AC66" s="7">
        <v>1121.529</v>
      </c>
      <c r="AD66" s="7">
        <v>1133.9280000000001</v>
      </c>
    </row>
    <row r="67" spans="1:30">
      <c r="A67" s="4">
        <v>392</v>
      </c>
      <c r="B67" s="5" t="s">
        <v>9</v>
      </c>
      <c r="C67" s="5" t="s">
        <v>33</v>
      </c>
      <c r="D67" s="4" t="s">
        <v>30</v>
      </c>
      <c r="E67" s="7">
        <v>66.563000000000002</v>
      </c>
      <c r="F67" s="7">
        <v>74.131</v>
      </c>
      <c r="G67" s="7">
        <v>86.98</v>
      </c>
      <c r="H67" s="7">
        <v>98.096000000000004</v>
      </c>
      <c r="I67" s="7">
        <v>101.70399999999999</v>
      </c>
      <c r="J67" s="7">
        <v>93.564999999999998</v>
      </c>
      <c r="K67" s="7">
        <v>110.16</v>
      </c>
      <c r="L67" s="7">
        <v>134.47200000000001</v>
      </c>
      <c r="M67" s="7">
        <v>153.571</v>
      </c>
      <c r="N67" s="7">
        <v>158.828</v>
      </c>
      <c r="O67" s="7">
        <v>145.81700000000001</v>
      </c>
      <c r="P67" s="7">
        <v>163.14099999999999</v>
      </c>
      <c r="Q67" s="7">
        <v>186.833</v>
      </c>
      <c r="R67" s="7">
        <v>204.73699999999999</v>
      </c>
      <c r="S67" s="7">
        <v>207.95400000000001</v>
      </c>
      <c r="T67" s="7">
        <v>190.78200000000001</v>
      </c>
      <c r="U67" s="7">
        <v>207.47800000000001</v>
      </c>
      <c r="V67" s="7">
        <v>231.983</v>
      </c>
      <c r="W67" s="7">
        <v>250.95699999999999</v>
      </c>
      <c r="X67" s="7">
        <v>254.417</v>
      </c>
      <c r="Y67" s="7">
        <v>235.822</v>
      </c>
      <c r="Z67" s="7">
        <v>253.46</v>
      </c>
      <c r="AA67" s="7">
        <v>281.16300000000001</v>
      </c>
      <c r="AB67" s="7">
        <v>304.971</v>
      </c>
      <c r="AC67" s="7">
        <v>313.35300000000001</v>
      </c>
      <c r="AD67" s="7">
        <v>297.976</v>
      </c>
    </row>
    <row r="68" spans="1:30">
      <c r="A68" s="4">
        <v>392</v>
      </c>
      <c r="B68" s="5" t="s">
        <v>9</v>
      </c>
      <c r="C68" s="5" t="s">
        <v>33</v>
      </c>
      <c r="D68" s="4" t="s">
        <v>31</v>
      </c>
      <c r="E68" s="7">
        <v>7.548</v>
      </c>
      <c r="F68" s="7">
        <v>7.9</v>
      </c>
      <c r="G68" s="7">
        <v>8.2319999999999993</v>
      </c>
      <c r="H68" s="7">
        <v>8.5760000000000005</v>
      </c>
      <c r="I68" s="7">
        <v>8.9740000000000002</v>
      </c>
      <c r="J68" s="7">
        <v>9.4600000000000009</v>
      </c>
      <c r="K68" s="7">
        <v>10.047000000000001</v>
      </c>
      <c r="L68" s="7">
        <v>10.728999999999999</v>
      </c>
      <c r="M68" s="7">
        <v>11.542999999999999</v>
      </c>
      <c r="N68" s="7">
        <v>12.531000000000001</v>
      </c>
      <c r="O68" s="7">
        <v>13.72</v>
      </c>
      <c r="P68" s="7">
        <v>15.141999999999999</v>
      </c>
      <c r="Q68" s="7">
        <v>16.766999999999999</v>
      </c>
      <c r="R68" s="7">
        <v>18.527000000000001</v>
      </c>
      <c r="S68" s="7">
        <v>20.331</v>
      </c>
      <c r="T68" s="7">
        <v>22.106999999999999</v>
      </c>
      <c r="U68" s="7">
        <v>23.863</v>
      </c>
      <c r="V68" s="7">
        <v>25.596</v>
      </c>
      <c r="W68" s="7">
        <v>27.308</v>
      </c>
      <c r="X68" s="7">
        <v>29.012</v>
      </c>
      <c r="Y68" s="7">
        <v>30.72</v>
      </c>
      <c r="Z68" s="7">
        <v>32.47</v>
      </c>
      <c r="AA68" s="7">
        <v>34.247</v>
      </c>
      <c r="AB68" s="7">
        <v>36.072000000000003</v>
      </c>
      <c r="AC68" s="7">
        <v>37.968000000000004</v>
      </c>
      <c r="AD68" s="7">
        <v>39.96</v>
      </c>
    </row>
  </sheetData>
  <mergeCells count="1">
    <mergeCell ref="A1:AD1"/>
  </mergeCells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11"/>
  <sheetViews>
    <sheetView zoomScale="85" zoomScaleNormal="85" workbookViewId="0">
      <selection activeCell="B26" sqref="B26"/>
    </sheetView>
  </sheetViews>
  <sheetFormatPr defaultRowHeight="14.5"/>
  <cols>
    <col min="2" max="2" width="22.81640625" customWidth="1"/>
    <col min="3" max="8" width="8.81640625" bestFit="1" customWidth="1"/>
    <col min="9" max="9" width="9.1796875" bestFit="1" customWidth="1"/>
    <col min="10" max="10" width="8.81640625" bestFit="1" customWidth="1"/>
  </cols>
  <sheetData>
    <row r="1" spans="1:12">
      <c r="A1" s="8" t="s">
        <v>64</v>
      </c>
    </row>
    <row r="2" spans="1:12">
      <c r="A2" s="8"/>
      <c r="B2" s="8" t="s">
        <v>183</v>
      </c>
    </row>
    <row r="3" spans="1:12">
      <c r="A3" s="8"/>
      <c r="B3" s="8"/>
      <c r="C3">
        <v>12505</v>
      </c>
    </row>
    <row r="4" spans="1:12">
      <c r="A4" s="8"/>
    </row>
    <row r="5" spans="1:12">
      <c r="B5" s="8" t="s">
        <v>184</v>
      </c>
    </row>
    <row r="6" spans="1:12">
      <c r="B6" s="8" t="s">
        <v>69</v>
      </c>
      <c r="C6" t="s">
        <v>34</v>
      </c>
      <c r="D6" t="s">
        <v>35</v>
      </c>
      <c r="E6" t="s">
        <v>36</v>
      </c>
      <c r="F6" t="s">
        <v>37</v>
      </c>
      <c r="G6" t="s">
        <v>38</v>
      </c>
      <c r="H6" t="s">
        <v>39</v>
      </c>
      <c r="I6" t="s">
        <v>40</v>
      </c>
      <c r="J6" t="s">
        <v>41</v>
      </c>
      <c r="K6" t="s">
        <v>42</v>
      </c>
    </row>
    <row r="7" spans="1:12">
      <c r="C7">
        <v>2</v>
      </c>
      <c r="D7">
        <v>3</v>
      </c>
      <c r="E7">
        <v>6</v>
      </c>
      <c r="F7">
        <v>9.1999999999999993</v>
      </c>
      <c r="G7">
        <v>17.3</v>
      </c>
      <c r="H7">
        <v>26.3</v>
      </c>
      <c r="I7">
        <v>29.6</v>
      </c>
      <c r="J7">
        <v>6.6</v>
      </c>
    </row>
    <row r="9" spans="1:12">
      <c r="B9" s="8" t="s">
        <v>185</v>
      </c>
    </row>
    <row r="10" spans="1:12">
      <c r="B10" s="8" t="s">
        <v>69</v>
      </c>
      <c r="C10" t="s">
        <v>34</v>
      </c>
      <c r="D10" t="s">
        <v>35</v>
      </c>
      <c r="E10" t="s">
        <v>36</v>
      </c>
      <c r="F10" t="s">
        <v>37</v>
      </c>
      <c r="G10" t="s">
        <v>38</v>
      </c>
      <c r="H10" t="s">
        <v>39</v>
      </c>
      <c r="I10" t="s">
        <v>40</v>
      </c>
      <c r="J10" t="s">
        <v>41</v>
      </c>
      <c r="K10" t="s">
        <v>42</v>
      </c>
    </row>
    <row r="11" spans="1:12">
      <c r="B11" t="s">
        <v>177</v>
      </c>
      <c r="C11">
        <v>7.5</v>
      </c>
      <c r="D11">
        <v>10.3</v>
      </c>
      <c r="E11">
        <v>14</v>
      </c>
      <c r="F11">
        <v>16.399999999999999</v>
      </c>
      <c r="G11">
        <v>22.7</v>
      </c>
      <c r="H11">
        <v>29.7</v>
      </c>
      <c r="I11">
        <v>40.299999999999997</v>
      </c>
      <c r="J11">
        <v>40</v>
      </c>
      <c r="K11">
        <v>50</v>
      </c>
      <c r="L11" t="s">
        <v>43</v>
      </c>
    </row>
    <row r="12" spans="1:12">
      <c r="B12" t="s">
        <v>174</v>
      </c>
      <c r="C12">
        <v>28.9</v>
      </c>
      <c r="D12">
        <v>31</v>
      </c>
      <c r="E12">
        <v>28.7</v>
      </c>
      <c r="F12">
        <v>24.4</v>
      </c>
      <c r="G12">
        <v>19.2</v>
      </c>
      <c r="H12">
        <v>13.1</v>
      </c>
      <c r="I12">
        <v>6</v>
      </c>
      <c r="J12">
        <v>1.7</v>
      </c>
      <c r="K12">
        <v>0</v>
      </c>
      <c r="L12" t="s">
        <v>44</v>
      </c>
    </row>
    <row r="13" spans="1:12">
      <c r="B13" s="8" t="s">
        <v>182</v>
      </c>
      <c r="C13">
        <v>3.5</v>
      </c>
      <c r="D13">
        <v>13.4</v>
      </c>
      <c r="E13">
        <v>18.100000000000001</v>
      </c>
      <c r="F13">
        <v>19.5</v>
      </c>
      <c r="G13">
        <v>21.3</v>
      </c>
      <c r="H13">
        <v>15</v>
      </c>
      <c r="I13">
        <v>6.6</v>
      </c>
      <c r="J13">
        <v>1.2</v>
      </c>
      <c r="K13">
        <v>0</v>
      </c>
      <c r="L13" t="s">
        <v>45</v>
      </c>
    </row>
    <row r="14" spans="1:12">
      <c r="B14" t="s">
        <v>171</v>
      </c>
      <c r="C14">
        <v>0.6</v>
      </c>
      <c r="D14">
        <v>1.1000000000000001</v>
      </c>
      <c r="E14">
        <v>2.5</v>
      </c>
      <c r="F14">
        <v>2.7</v>
      </c>
      <c r="G14">
        <v>4.2</v>
      </c>
      <c r="H14">
        <v>7.5</v>
      </c>
      <c r="I14">
        <v>12.6</v>
      </c>
      <c r="J14">
        <v>18.7</v>
      </c>
      <c r="K14">
        <v>16.7</v>
      </c>
      <c r="L14" t="s">
        <v>46</v>
      </c>
    </row>
    <row r="15" spans="1:12">
      <c r="B15" t="s">
        <v>165</v>
      </c>
      <c r="C15">
        <v>0</v>
      </c>
      <c r="D15">
        <v>0.8</v>
      </c>
      <c r="E15">
        <v>1.1000000000000001</v>
      </c>
      <c r="F15">
        <v>1.7</v>
      </c>
      <c r="G15">
        <v>3.5</v>
      </c>
      <c r="H15">
        <v>5.7</v>
      </c>
      <c r="I15">
        <v>6.8</v>
      </c>
      <c r="J15">
        <v>6.3</v>
      </c>
      <c r="K15">
        <v>0</v>
      </c>
      <c r="L15" t="s">
        <v>47</v>
      </c>
    </row>
    <row r="16" spans="1:12">
      <c r="B16" s="8" t="s">
        <v>178</v>
      </c>
      <c r="C16">
        <v>9.1999999999999993</v>
      </c>
      <c r="D16">
        <v>3.4</v>
      </c>
      <c r="E16">
        <v>4.5</v>
      </c>
      <c r="F16">
        <v>3.1</v>
      </c>
      <c r="G16">
        <v>3.5</v>
      </c>
      <c r="H16">
        <v>4</v>
      </c>
      <c r="I16">
        <v>3.2</v>
      </c>
      <c r="J16">
        <v>4.7</v>
      </c>
      <c r="K16">
        <v>0</v>
      </c>
      <c r="L16" t="s">
        <v>48</v>
      </c>
    </row>
    <row r="17" spans="2:12">
      <c r="B17" s="8" t="s">
        <v>179</v>
      </c>
      <c r="C17">
        <v>2.2999999999999998</v>
      </c>
      <c r="D17">
        <v>1.9</v>
      </c>
      <c r="E17">
        <v>1.1000000000000001</v>
      </c>
      <c r="F17">
        <v>2.8</v>
      </c>
      <c r="G17">
        <v>2</v>
      </c>
      <c r="H17">
        <v>2.5</v>
      </c>
      <c r="I17">
        <v>3.6</v>
      </c>
      <c r="J17">
        <v>8</v>
      </c>
      <c r="K17">
        <v>25</v>
      </c>
      <c r="L17" t="s">
        <v>49</v>
      </c>
    </row>
    <row r="18" spans="2:12">
      <c r="B18" s="8" t="s">
        <v>180</v>
      </c>
      <c r="C18">
        <v>1.7</v>
      </c>
      <c r="D18">
        <v>2.2999999999999998</v>
      </c>
      <c r="E18">
        <v>4.5</v>
      </c>
      <c r="F18">
        <v>5.2</v>
      </c>
      <c r="G18">
        <v>4</v>
      </c>
      <c r="H18">
        <v>3.4</v>
      </c>
      <c r="I18">
        <v>1.1000000000000001</v>
      </c>
      <c r="J18">
        <v>1.4</v>
      </c>
      <c r="K18">
        <v>0</v>
      </c>
      <c r="L18" t="s">
        <v>50</v>
      </c>
    </row>
    <row r="19" spans="2:12">
      <c r="B19" s="8" t="s">
        <v>181</v>
      </c>
      <c r="C19">
        <v>0.6</v>
      </c>
      <c r="D19">
        <v>1.1000000000000001</v>
      </c>
      <c r="E19">
        <v>1.7</v>
      </c>
      <c r="F19">
        <v>0.9</v>
      </c>
      <c r="G19">
        <v>1.3</v>
      </c>
      <c r="H19">
        <v>1.5</v>
      </c>
      <c r="I19">
        <v>2.5</v>
      </c>
      <c r="J19">
        <v>2.2999999999999998</v>
      </c>
      <c r="K19">
        <v>0</v>
      </c>
      <c r="L19" t="s">
        <v>51</v>
      </c>
    </row>
    <row r="20" spans="2:12">
      <c r="B20" t="s">
        <v>163</v>
      </c>
      <c r="C20">
        <v>0.6</v>
      </c>
      <c r="D20">
        <v>0</v>
      </c>
      <c r="E20">
        <v>0.4</v>
      </c>
      <c r="F20">
        <v>0.2</v>
      </c>
      <c r="G20">
        <v>1.1000000000000001</v>
      </c>
      <c r="H20">
        <v>1.5</v>
      </c>
      <c r="I20">
        <v>1.1000000000000001</v>
      </c>
      <c r="J20">
        <v>1</v>
      </c>
      <c r="K20">
        <v>0</v>
      </c>
      <c r="L20" t="s">
        <v>52</v>
      </c>
    </row>
    <row r="21" spans="2:12">
      <c r="B21" t="s">
        <v>53</v>
      </c>
      <c r="C21">
        <v>45.1</v>
      </c>
      <c r="D21">
        <v>34.5</v>
      </c>
      <c r="E21">
        <v>23.4</v>
      </c>
      <c r="F21">
        <v>23</v>
      </c>
      <c r="G21">
        <v>17.100000000000001</v>
      </c>
      <c r="H21">
        <v>16.2</v>
      </c>
      <c r="I21">
        <v>16.3</v>
      </c>
      <c r="J21">
        <v>14.5</v>
      </c>
      <c r="K21">
        <v>8.3000000000000007</v>
      </c>
      <c r="L21" t="s">
        <v>54</v>
      </c>
    </row>
    <row r="22" spans="2:12">
      <c r="B22" t="s">
        <v>55</v>
      </c>
      <c r="C22">
        <f>SUM(C11:C21)</f>
        <v>100</v>
      </c>
      <c r="D22">
        <f t="shared" ref="D22:K22" si="0">SUM(D11:D21)</f>
        <v>99.799999999999983</v>
      </c>
      <c r="E22">
        <f t="shared" si="0"/>
        <v>100</v>
      </c>
      <c r="F22">
        <f t="shared" si="0"/>
        <v>99.9</v>
      </c>
      <c r="G22">
        <f t="shared" si="0"/>
        <v>99.9</v>
      </c>
      <c r="H22">
        <f t="shared" si="0"/>
        <v>100.10000000000001</v>
      </c>
      <c r="I22">
        <f t="shared" si="0"/>
        <v>100.09999999999998</v>
      </c>
      <c r="J22">
        <f t="shared" si="0"/>
        <v>99.800000000000011</v>
      </c>
      <c r="K22">
        <f t="shared" si="0"/>
        <v>100</v>
      </c>
      <c r="L22" t="s">
        <v>56</v>
      </c>
    </row>
    <row r="23" spans="2:12">
      <c r="B23" t="s">
        <v>57</v>
      </c>
    </row>
    <row r="25" spans="2:12">
      <c r="B25" s="8" t="s">
        <v>186</v>
      </c>
    </row>
    <row r="26" spans="2:12">
      <c r="B26" s="8"/>
      <c r="C26" s="8" t="s">
        <v>58</v>
      </c>
      <c r="D26" s="8" t="s">
        <v>59</v>
      </c>
      <c r="E26" s="8" t="s">
        <v>60</v>
      </c>
      <c r="F26" s="8" t="s">
        <v>61</v>
      </c>
      <c r="G26" s="8" t="s">
        <v>62</v>
      </c>
      <c r="H26" s="8" t="s">
        <v>63</v>
      </c>
    </row>
    <row r="27" spans="2:12">
      <c r="B27" t="s">
        <v>177</v>
      </c>
      <c r="C27">
        <v>29.6</v>
      </c>
      <c r="D27">
        <v>34.200000000000003</v>
      </c>
      <c r="E27">
        <v>21.5</v>
      </c>
      <c r="F27">
        <v>22.8</v>
      </c>
      <c r="G27">
        <v>29.5</v>
      </c>
      <c r="H27">
        <v>24.7</v>
      </c>
    </row>
    <row r="28" spans="2:12">
      <c r="B28" t="s">
        <v>174</v>
      </c>
      <c r="C28">
        <v>8.6999999999999993</v>
      </c>
      <c r="D28">
        <v>26.9</v>
      </c>
      <c r="E28">
        <v>15.7</v>
      </c>
      <c r="F28">
        <v>5</v>
      </c>
      <c r="G28">
        <v>8.6</v>
      </c>
      <c r="H28">
        <v>1.3</v>
      </c>
    </row>
    <row r="29" spans="2:12">
      <c r="B29" t="s">
        <v>182</v>
      </c>
      <c r="C29">
        <v>15.1</v>
      </c>
      <c r="D29">
        <v>10.6</v>
      </c>
      <c r="E29">
        <v>14.9</v>
      </c>
      <c r="F29">
        <v>18.399999999999999</v>
      </c>
      <c r="G29">
        <v>11.8</v>
      </c>
      <c r="H29">
        <v>11.5</v>
      </c>
    </row>
    <row r="30" spans="2:12">
      <c r="B30" t="s">
        <v>171</v>
      </c>
      <c r="C30">
        <v>4.2</v>
      </c>
      <c r="D30">
        <v>4.5999999999999996</v>
      </c>
      <c r="E30">
        <v>13.2</v>
      </c>
      <c r="F30">
        <v>14.6</v>
      </c>
      <c r="G30">
        <v>9</v>
      </c>
      <c r="H30">
        <v>12.2</v>
      </c>
    </row>
    <row r="31" spans="2:12">
      <c r="B31" t="s">
        <v>165</v>
      </c>
      <c r="C31">
        <v>4.0999999999999996</v>
      </c>
      <c r="D31">
        <v>3.8</v>
      </c>
      <c r="E31">
        <v>7.3</v>
      </c>
      <c r="F31">
        <v>6.6</v>
      </c>
      <c r="G31">
        <v>4.7</v>
      </c>
      <c r="H31">
        <v>4.9000000000000004</v>
      </c>
    </row>
    <row r="32" spans="2:12">
      <c r="B32" t="s">
        <v>178</v>
      </c>
      <c r="C32">
        <v>6.8</v>
      </c>
      <c r="D32">
        <v>2.7</v>
      </c>
      <c r="E32">
        <v>3.4</v>
      </c>
      <c r="F32">
        <v>4.2</v>
      </c>
      <c r="G32">
        <v>3</v>
      </c>
      <c r="H32">
        <v>3.6</v>
      </c>
    </row>
    <row r="33" spans="1:16">
      <c r="B33" t="s">
        <v>179</v>
      </c>
      <c r="C33">
        <v>6.4</v>
      </c>
      <c r="D33">
        <v>1.6</v>
      </c>
      <c r="E33">
        <v>2.9</v>
      </c>
      <c r="F33">
        <v>2.7</v>
      </c>
      <c r="G33">
        <v>1.6</v>
      </c>
      <c r="H33">
        <v>8.4</v>
      </c>
    </row>
    <row r="34" spans="1:16">
      <c r="B34" t="s">
        <v>180</v>
      </c>
      <c r="C34">
        <v>2.7</v>
      </c>
      <c r="D34">
        <v>0.9</v>
      </c>
      <c r="E34">
        <v>0.9</v>
      </c>
      <c r="F34">
        <v>0.8</v>
      </c>
      <c r="G34">
        <v>8</v>
      </c>
      <c r="H34">
        <v>0</v>
      </c>
    </row>
    <row r="35" spans="1:16">
      <c r="B35" t="s">
        <v>181</v>
      </c>
      <c r="C35">
        <v>2.1</v>
      </c>
      <c r="D35">
        <v>1.2</v>
      </c>
      <c r="E35">
        <v>2.7</v>
      </c>
      <c r="F35">
        <v>1.5</v>
      </c>
      <c r="G35">
        <v>1.1000000000000001</v>
      </c>
      <c r="H35">
        <v>4.4000000000000004</v>
      </c>
    </row>
    <row r="36" spans="1:16">
      <c r="B36" t="s">
        <v>163</v>
      </c>
      <c r="C36">
        <v>0.8</v>
      </c>
      <c r="D36">
        <v>0.6</v>
      </c>
      <c r="E36">
        <v>1.4</v>
      </c>
      <c r="F36">
        <v>1.9</v>
      </c>
      <c r="G36">
        <v>1.1000000000000001</v>
      </c>
      <c r="H36">
        <v>0.8</v>
      </c>
    </row>
    <row r="37" spans="1:16">
      <c r="B37" t="s">
        <v>53</v>
      </c>
      <c r="C37">
        <v>19.5</v>
      </c>
      <c r="D37">
        <v>13</v>
      </c>
      <c r="E37">
        <v>16</v>
      </c>
      <c r="F37">
        <v>21.6</v>
      </c>
      <c r="G37">
        <v>21.6</v>
      </c>
      <c r="H37">
        <v>27.8</v>
      </c>
    </row>
    <row r="38" spans="1:16">
      <c r="B38" t="s">
        <v>55</v>
      </c>
      <c r="C38">
        <f t="shared" ref="C38:H38" si="1">SUM(C27:C37)</f>
        <v>100</v>
      </c>
      <c r="D38">
        <f t="shared" si="1"/>
        <v>100.1</v>
      </c>
      <c r="E38">
        <f t="shared" si="1"/>
        <v>99.90000000000002</v>
      </c>
      <c r="F38">
        <f t="shared" si="1"/>
        <v>100.10000000000002</v>
      </c>
      <c r="G38">
        <f t="shared" si="1"/>
        <v>100</v>
      </c>
      <c r="H38">
        <f t="shared" si="1"/>
        <v>99.600000000000009</v>
      </c>
    </row>
    <row r="40" spans="1:16">
      <c r="B40" s="8" t="s">
        <v>187</v>
      </c>
    </row>
    <row r="41" spans="1:16">
      <c r="C41" s="8" t="s">
        <v>58</v>
      </c>
      <c r="D41" s="8" t="s">
        <v>59</v>
      </c>
      <c r="E41" s="8" t="s">
        <v>60</v>
      </c>
      <c r="F41" s="8" t="s">
        <v>61</v>
      </c>
      <c r="G41" s="8" t="s">
        <v>62</v>
      </c>
      <c r="H41" s="8" t="s">
        <v>63</v>
      </c>
    </row>
    <row r="42" spans="1:16">
      <c r="C42">
        <v>16.100000000000001</v>
      </c>
      <c r="D42">
        <v>31.8</v>
      </c>
      <c r="E42">
        <v>8.6999999999999993</v>
      </c>
      <c r="F42">
        <v>12.3</v>
      </c>
      <c r="G42">
        <v>24.3</v>
      </c>
      <c r="H42">
        <v>6.9</v>
      </c>
    </row>
    <row r="45" spans="1:16">
      <c r="A45" s="8" t="s">
        <v>65</v>
      </c>
    </row>
    <row r="46" spans="1:16">
      <c r="A46" s="8"/>
      <c r="B46" s="8" t="s">
        <v>66</v>
      </c>
    </row>
    <row r="47" spans="1:16">
      <c r="C47" t="s">
        <v>34</v>
      </c>
      <c r="D47" t="s">
        <v>35</v>
      </c>
      <c r="E47" t="s">
        <v>36</v>
      </c>
      <c r="F47" t="s">
        <v>37</v>
      </c>
      <c r="G47" t="s">
        <v>38</v>
      </c>
      <c r="H47" t="s">
        <v>39</v>
      </c>
      <c r="I47" t="s">
        <v>40</v>
      </c>
      <c r="J47" t="s">
        <v>41</v>
      </c>
      <c r="K47" t="s">
        <v>42</v>
      </c>
      <c r="L47" t="s">
        <v>68</v>
      </c>
    </row>
    <row r="48" spans="1:16">
      <c r="B48" t="s">
        <v>177</v>
      </c>
      <c r="C48" s="10">
        <f>C$7*C11/10000*$C$3</f>
        <v>18.7575</v>
      </c>
      <c r="D48" s="10">
        <f t="shared" ref="D48:J48" si="2">D$7*D11/10000*$C$3</f>
        <v>38.640450000000001</v>
      </c>
      <c r="E48" s="10">
        <f t="shared" si="2"/>
        <v>105.04199999999999</v>
      </c>
      <c r="F48" s="10">
        <f t="shared" si="2"/>
        <v>188.67543999999995</v>
      </c>
      <c r="G48" s="10">
        <f t="shared" si="2"/>
        <v>491.08385500000003</v>
      </c>
      <c r="H48" s="10">
        <f t="shared" si="2"/>
        <v>976.77805499999999</v>
      </c>
      <c r="I48" s="10">
        <f t="shared" si="2"/>
        <v>1491.6964399999999</v>
      </c>
      <c r="J48" s="10">
        <f t="shared" si="2"/>
        <v>330.13200000000001</v>
      </c>
      <c r="K48">
        <f>K$7*K11/10000*$C$28</f>
        <v>0</v>
      </c>
      <c r="L48" s="11">
        <f>SUM(C48:K48)</f>
        <v>3640.8057400000002</v>
      </c>
      <c r="O48" t="str">
        <f>LEFT(B48,LEN(B48)-4)</f>
        <v>Disease a</v>
      </c>
      <c r="P48" s="12">
        <f>L48/SUM($L$48:$L$58)</f>
        <v>0.29111830593279486</v>
      </c>
    </row>
    <row r="49" spans="2:16">
      <c r="B49" t="s">
        <v>174</v>
      </c>
      <c r="C49" s="10">
        <f t="shared" ref="C49:J58" si="3">C$7*C12/10000*$C$3</f>
        <v>72.278899999999993</v>
      </c>
      <c r="D49" s="10">
        <f t="shared" si="3"/>
        <v>116.29649999999999</v>
      </c>
      <c r="E49" s="10">
        <f t="shared" si="3"/>
        <v>215.33609999999999</v>
      </c>
      <c r="F49" s="10">
        <f t="shared" si="3"/>
        <v>280.71223999999995</v>
      </c>
      <c r="G49" s="10">
        <f t="shared" si="3"/>
        <v>415.36608000000001</v>
      </c>
      <c r="H49" s="10">
        <f t="shared" si="3"/>
        <v>430.83476499999995</v>
      </c>
      <c r="I49" s="10">
        <f t="shared" si="3"/>
        <v>222.08880000000002</v>
      </c>
      <c r="J49" s="10">
        <f t="shared" si="3"/>
        <v>14.030609999999999</v>
      </c>
      <c r="K49">
        <f t="shared" ref="K49:K58" si="4">K$7*K12/10000*$C$28</f>
        <v>0</v>
      </c>
      <c r="L49" s="11">
        <f t="shared" ref="L49:L57" si="5">SUM(C49:K49)</f>
        <v>1766.9439949999999</v>
      </c>
      <c r="O49" t="str">
        <f t="shared" ref="O49:O58" si="6">LEFT(B49,LEN(B49)-4)</f>
        <v>Disease D</v>
      </c>
      <c r="P49" s="12">
        <f t="shared" ref="P49:P58" si="7">L49/SUM($L$48:$L$58)</f>
        <v>0.14128458897192483</v>
      </c>
    </row>
    <row r="50" spans="2:16">
      <c r="B50" t="s">
        <v>182</v>
      </c>
      <c r="C50" s="10">
        <f t="shared" si="3"/>
        <v>8.7535000000000007</v>
      </c>
      <c r="D50" s="10">
        <f t="shared" si="3"/>
        <v>50.270099999999999</v>
      </c>
      <c r="E50" s="10">
        <f t="shared" si="3"/>
        <v>135.80430000000001</v>
      </c>
      <c r="F50" s="10">
        <f t="shared" si="3"/>
        <v>224.33969999999997</v>
      </c>
      <c r="G50" s="10">
        <f t="shared" si="3"/>
        <v>460.79674499999999</v>
      </c>
      <c r="H50" s="10">
        <f t="shared" si="3"/>
        <v>493.32225</v>
      </c>
      <c r="I50" s="10">
        <f t="shared" si="3"/>
        <v>244.29767999999999</v>
      </c>
      <c r="J50" s="10">
        <f t="shared" si="3"/>
        <v>9.9039599999999997</v>
      </c>
      <c r="K50">
        <f t="shared" si="4"/>
        <v>0</v>
      </c>
      <c r="L50" s="11">
        <f t="shared" si="5"/>
        <v>1627.488235</v>
      </c>
      <c r="O50" t="str">
        <f t="shared" si="6"/>
        <v>Disease f</v>
      </c>
      <c r="P50" s="12">
        <f t="shared" si="7"/>
        <v>0.13013372635991127</v>
      </c>
    </row>
    <row r="51" spans="2:16">
      <c r="B51" t="s">
        <v>171</v>
      </c>
      <c r="C51" s="10">
        <f t="shared" si="3"/>
        <v>1.5005999999999999</v>
      </c>
      <c r="D51" s="10">
        <f t="shared" si="3"/>
        <v>4.1266500000000006</v>
      </c>
      <c r="E51" s="10">
        <f t="shared" si="3"/>
        <v>18.7575</v>
      </c>
      <c r="F51" s="10">
        <f t="shared" si="3"/>
        <v>31.062419999999999</v>
      </c>
      <c r="G51" s="10">
        <f t="shared" si="3"/>
        <v>90.861330000000009</v>
      </c>
      <c r="H51" s="10">
        <f t="shared" si="3"/>
        <v>246.661125</v>
      </c>
      <c r="I51" s="10">
        <f t="shared" si="3"/>
        <v>466.38647999999995</v>
      </c>
      <c r="J51" s="10">
        <f t="shared" si="3"/>
        <v>154.33670999999998</v>
      </c>
      <c r="K51">
        <f t="shared" si="4"/>
        <v>0</v>
      </c>
      <c r="L51" s="11">
        <f t="shared" si="5"/>
        <v>1013.6928149999999</v>
      </c>
      <c r="O51" t="str">
        <f t="shared" si="6"/>
        <v>Disease C</v>
      </c>
      <c r="P51" s="12">
        <f t="shared" si="7"/>
        <v>8.1054732417293412E-2</v>
      </c>
    </row>
    <row r="52" spans="2:16">
      <c r="B52" t="s">
        <v>165</v>
      </c>
      <c r="C52" s="10">
        <f t="shared" si="3"/>
        <v>0</v>
      </c>
      <c r="D52" s="10">
        <f t="shared" si="3"/>
        <v>3.0012000000000003</v>
      </c>
      <c r="E52" s="10">
        <f t="shared" si="3"/>
        <v>8.2533000000000012</v>
      </c>
      <c r="F52" s="10">
        <f t="shared" si="3"/>
        <v>19.55782</v>
      </c>
      <c r="G52" s="10">
        <f t="shared" si="3"/>
        <v>75.717775000000003</v>
      </c>
      <c r="H52" s="10">
        <f t="shared" si="3"/>
        <v>187.46245499999998</v>
      </c>
      <c r="I52" s="10">
        <f t="shared" si="3"/>
        <v>251.70063999999999</v>
      </c>
      <c r="J52" s="10">
        <f t="shared" si="3"/>
        <v>51.99579</v>
      </c>
      <c r="K52">
        <f t="shared" si="4"/>
        <v>0</v>
      </c>
      <c r="L52" s="11">
        <f t="shared" si="5"/>
        <v>597.6889799999999</v>
      </c>
      <c r="O52" t="str">
        <f t="shared" si="6"/>
        <v>Disease B</v>
      </c>
      <c r="P52" s="12">
        <f t="shared" si="7"/>
        <v>4.7791125305218854E-2</v>
      </c>
    </row>
    <row r="53" spans="2:16">
      <c r="B53" t="s">
        <v>178</v>
      </c>
      <c r="C53" s="10">
        <f t="shared" si="3"/>
        <v>23.009199999999996</v>
      </c>
      <c r="D53" s="10">
        <f t="shared" si="3"/>
        <v>12.755099999999999</v>
      </c>
      <c r="E53" s="10">
        <f t="shared" si="3"/>
        <v>33.763500000000001</v>
      </c>
      <c r="F53" s="10">
        <f t="shared" si="3"/>
        <v>35.664259999999999</v>
      </c>
      <c r="G53" s="10">
        <f t="shared" si="3"/>
        <v>75.717775000000003</v>
      </c>
      <c r="H53" s="10">
        <f t="shared" si="3"/>
        <v>131.55259999999998</v>
      </c>
      <c r="I53" s="10">
        <f t="shared" si="3"/>
        <v>118.44736000000002</v>
      </c>
      <c r="J53" s="10">
        <f t="shared" si="3"/>
        <v>38.790510000000005</v>
      </c>
      <c r="K53">
        <f t="shared" si="4"/>
        <v>0</v>
      </c>
      <c r="L53" s="11">
        <f t="shared" si="5"/>
        <v>469.70030499999996</v>
      </c>
      <c r="O53" t="str">
        <f t="shared" si="6"/>
        <v>Disease b</v>
      </c>
      <c r="P53" s="12">
        <f t="shared" si="7"/>
        <v>3.7557169168744783E-2</v>
      </c>
    </row>
    <row r="54" spans="2:16">
      <c r="B54" t="s">
        <v>179</v>
      </c>
      <c r="C54" s="10">
        <f t="shared" si="3"/>
        <v>5.7522999999999991</v>
      </c>
      <c r="D54" s="10">
        <f t="shared" si="3"/>
        <v>7.1278499999999996</v>
      </c>
      <c r="E54" s="10">
        <f t="shared" si="3"/>
        <v>8.2533000000000012</v>
      </c>
      <c r="F54" s="10">
        <f t="shared" si="3"/>
        <v>32.212879999999998</v>
      </c>
      <c r="G54" s="10">
        <f t="shared" si="3"/>
        <v>43.267299999999999</v>
      </c>
      <c r="H54" s="10">
        <f t="shared" si="3"/>
        <v>82.220375000000004</v>
      </c>
      <c r="I54" s="10">
        <f t="shared" si="3"/>
        <v>133.25328000000002</v>
      </c>
      <c r="J54" s="10">
        <f t="shared" si="3"/>
        <v>66.026399999999995</v>
      </c>
      <c r="K54">
        <f t="shared" si="4"/>
        <v>0</v>
      </c>
      <c r="L54" s="11">
        <f t="shared" si="5"/>
        <v>378.11368500000003</v>
      </c>
      <c r="O54" t="str">
        <f t="shared" si="6"/>
        <v>Disease c</v>
      </c>
      <c r="P54" s="12">
        <f t="shared" si="7"/>
        <v>3.0233916140553662E-2</v>
      </c>
    </row>
    <row r="55" spans="2:16">
      <c r="B55" t="s">
        <v>180</v>
      </c>
      <c r="C55" s="10">
        <f t="shared" si="3"/>
        <v>4.2516999999999996</v>
      </c>
      <c r="D55" s="10">
        <f t="shared" si="3"/>
        <v>8.6284499999999991</v>
      </c>
      <c r="E55" s="10">
        <f t="shared" si="3"/>
        <v>33.763500000000001</v>
      </c>
      <c r="F55" s="10">
        <f t="shared" si="3"/>
        <v>59.823920000000001</v>
      </c>
      <c r="G55" s="10">
        <f t="shared" si="3"/>
        <v>86.534599999999998</v>
      </c>
      <c r="H55" s="10">
        <f t="shared" si="3"/>
        <v>111.81971</v>
      </c>
      <c r="I55" s="10">
        <f t="shared" si="3"/>
        <v>40.716280000000005</v>
      </c>
      <c r="J55" s="10">
        <f t="shared" si="3"/>
        <v>11.554619999999998</v>
      </c>
      <c r="K55">
        <f t="shared" si="4"/>
        <v>0</v>
      </c>
      <c r="L55" s="11">
        <f t="shared" si="5"/>
        <v>357.09277999999995</v>
      </c>
      <c r="O55" t="str">
        <f t="shared" si="6"/>
        <v>Disease d</v>
      </c>
      <c r="P55" s="12">
        <f t="shared" si="7"/>
        <v>2.8553087585066316E-2</v>
      </c>
    </row>
    <row r="56" spans="2:16">
      <c r="B56" t="s">
        <v>181</v>
      </c>
      <c r="C56" s="10">
        <f t="shared" si="3"/>
        <v>1.5005999999999999</v>
      </c>
      <c r="D56" s="10">
        <f t="shared" si="3"/>
        <v>4.1266500000000006</v>
      </c>
      <c r="E56" s="10">
        <f t="shared" si="3"/>
        <v>12.755099999999999</v>
      </c>
      <c r="F56" s="10">
        <f t="shared" si="3"/>
        <v>10.354139999999999</v>
      </c>
      <c r="G56" s="10">
        <f t="shared" si="3"/>
        <v>28.123745000000003</v>
      </c>
      <c r="H56" s="10">
        <f t="shared" si="3"/>
        <v>49.332225000000008</v>
      </c>
      <c r="I56" s="10">
        <f t="shared" si="3"/>
        <v>92.537000000000006</v>
      </c>
      <c r="J56" s="10">
        <f t="shared" si="3"/>
        <v>18.982589999999998</v>
      </c>
      <c r="K56">
        <f t="shared" si="4"/>
        <v>0</v>
      </c>
      <c r="L56" s="11">
        <f t="shared" si="5"/>
        <v>217.71205</v>
      </c>
      <c r="O56" t="str">
        <f t="shared" si="6"/>
        <v>Disease e</v>
      </c>
      <c r="P56" s="12">
        <f t="shared" si="7"/>
        <v>1.7408224361115165E-2</v>
      </c>
    </row>
    <row r="57" spans="2:16">
      <c r="B57" t="s">
        <v>163</v>
      </c>
      <c r="C57" s="10">
        <f t="shared" si="3"/>
        <v>1.5005999999999999</v>
      </c>
      <c r="D57" s="10">
        <f t="shared" si="3"/>
        <v>0</v>
      </c>
      <c r="E57" s="10">
        <f t="shared" si="3"/>
        <v>3.0012000000000003</v>
      </c>
      <c r="F57" s="10">
        <f t="shared" si="3"/>
        <v>2.3009199999999996</v>
      </c>
      <c r="G57" s="10">
        <f t="shared" si="3"/>
        <v>23.797015000000002</v>
      </c>
      <c r="H57" s="10">
        <f t="shared" si="3"/>
        <v>49.332225000000008</v>
      </c>
      <c r="I57" s="10">
        <f t="shared" si="3"/>
        <v>40.716280000000005</v>
      </c>
      <c r="J57" s="10">
        <f t="shared" si="3"/>
        <v>8.2532999999999994</v>
      </c>
      <c r="K57">
        <f t="shared" si="4"/>
        <v>0</v>
      </c>
      <c r="L57" s="11">
        <f t="shared" si="5"/>
        <v>128.90154000000001</v>
      </c>
      <c r="O57" t="str">
        <f t="shared" si="6"/>
        <v>Disease A</v>
      </c>
      <c r="P57" s="12">
        <f t="shared" si="7"/>
        <v>1.0306948691233494E-2</v>
      </c>
    </row>
    <row r="58" spans="2:16">
      <c r="B58" t="s">
        <v>53</v>
      </c>
      <c r="C58" s="10">
        <f t="shared" si="3"/>
        <v>112.79510000000001</v>
      </c>
      <c r="D58" s="10">
        <f t="shared" si="3"/>
        <v>129.42675</v>
      </c>
      <c r="E58" s="10">
        <f t="shared" si="3"/>
        <v>175.57019999999997</v>
      </c>
      <c r="F58" s="10">
        <f t="shared" si="3"/>
        <v>264.60579999999999</v>
      </c>
      <c r="G58" s="10">
        <f t="shared" si="3"/>
        <v>369.93541500000009</v>
      </c>
      <c r="H58" s="10">
        <f t="shared" si="3"/>
        <v>532.78802999999994</v>
      </c>
      <c r="I58" s="10">
        <f t="shared" si="3"/>
        <v>603.34123999999997</v>
      </c>
      <c r="J58" s="10">
        <f t="shared" si="3"/>
        <v>119.67284999999998</v>
      </c>
      <c r="K58">
        <f t="shared" si="4"/>
        <v>0</v>
      </c>
      <c r="L58" s="11">
        <f>SUM(C58:K58)</f>
        <v>2308.135385</v>
      </c>
      <c r="O58" t="str">
        <f t="shared" si="6"/>
        <v>Others</v>
      </c>
      <c r="P58" s="12">
        <f t="shared" si="7"/>
        <v>0.18455817506614325</v>
      </c>
    </row>
    <row r="60" spans="2:16">
      <c r="B60" s="8" t="s">
        <v>67</v>
      </c>
    </row>
    <row r="61" spans="2:16">
      <c r="B61" s="8"/>
      <c r="C61" s="8" t="s">
        <v>58</v>
      </c>
      <c r="D61" s="8" t="s">
        <v>59</v>
      </c>
      <c r="E61" s="8" t="s">
        <v>60</v>
      </c>
      <c r="F61" s="8" t="s">
        <v>61</v>
      </c>
      <c r="G61" s="8" t="s">
        <v>62</v>
      </c>
      <c r="H61" s="8" t="s">
        <v>63</v>
      </c>
      <c r="I61" s="8" t="s">
        <v>68</v>
      </c>
    </row>
    <row r="62" spans="2:16">
      <c r="B62" t="s">
        <v>177</v>
      </c>
      <c r="C62" s="10">
        <f t="shared" ref="C62:H62" si="8">C27*C$42/10000*$C$3</f>
        <v>595.93828000000008</v>
      </c>
      <c r="D62" s="10">
        <f t="shared" si="8"/>
        <v>1359.9937800000002</v>
      </c>
      <c r="E62" s="10">
        <f t="shared" si="8"/>
        <v>233.906025</v>
      </c>
      <c r="F62" s="10">
        <f t="shared" si="8"/>
        <v>350.69022000000001</v>
      </c>
      <c r="G62" s="10">
        <f t="shared" si="8"/>
        <v>896.42092500000001</v>
      </c>
      <c r="H62" s="10">
        <f t="shared" si="8"/>
        <v>213.122715</v>
      </c>
      <c r="I62" s="11">
        <f>SUM(C62:H62)</f>
        <v>3650.0719450000001</v>
      </c>
    </row>
    <row r="63" spans="2:16">
      <c r="B63" t="s">
        <v>174</v>
      </c>
      <c r="C63" s="10">
        <f t="shared" ref="C63:H72" si="9">C28*C$42/10000*$C$3</f>
        <v>175.157535</v>
      </c>
      <c r="D63" s="10">
        <f t="shared" si="9"/>
        <v>1069.70271</v>
      </c>
      <c r="E63" s="10">
        <f t="shared" si="9"/>
        <v>170.80579499999996</v>
      </c>
      <c r="F63" s="10">
        <f t="shared" si="9"/>
        <v>76.905749999999998</v>
      </c>
      <c r="G63" s="10">
        <f t="shared" si="9"/>
        <v>261.32949000000002</v>
      </c>
      <c r="H63" s="10">
        <f t="shared" si="9"/>
        <v>11.216984999999999</v>
      </c>
      <c r="I63" s="11">
        <f t="shared" ref="I63:I72" si="10">SUM(C63:H63)</f>
        <v>1765.1182650000001</v>
      </c>
    </row>
    <row r="64" spans="2:16">
      <c r="B64" t="s">
        <v>182</v>
      </c>
      <c r="C64" s="10">
        <f t="shared" si="9"/>
        <v>304.00905500000005</v>
      </c>
      <c r="D64" s="10">
        <f t="shared" si="9"/>
        <v>421.51854000000003</v>
      </c>
      <c r="E64" s="10">
        <f t="shared" si="9"/>
        <v>162.10231499999998</v>
      </c>
      <c r="F64" s="10">
        <f t="shared" si="9"/>
        <v>283.01315999999997</v>
      </c>
      <c r="G64" s="10">
        <f t="shared" si="9"/>
        <v>358.56837000000002</v>
      </c>
      <c r="H64" s="10">
        <f t="shared" si="9"/>
        <v>99.227175000000017</v>
      </c>
      <c r="I64" s="11">
        <f t="shared" si="10"/>
        <v>1628.438615</v>
      </c>
    </row>
    <row r="65" spans="2:9">
      <c r="B65" t="s">
        <v>171</v>
      </c>
      <c r="C65" s="10">
        <f t="shared" si="9"/>
        <v>84.558810000000008</v>
      </c>
      <c r="D65" s="10">
        <f t="shared" si="9"/>
        <v>182.92314000000002</v>
      </c>
      <c r="E65" s="10">
        <f t="shared" si="9"/>
        <v>143.60741999999999</v>
      </c>
      <c r="F65" s="10">
        <f t="shared" si="9"/>
        <v>224.56479000000002</v>
      </c>
      <c r="G65" s="10">
        <f t="shared" si="9"/>
        <v>273.48435000000001</v>
      </c>
      <c r="H65" s="10">
        <f t="shared" si="9"/>
        <v>105.26708999999998</v>
      </c>
      <c r="I65" s="11">
        <f t="shared" si="10"/>
        <v>1014.4055999999999</v>
      </c>
    </row>
    <row r="66" spans="2:9">
      <c r="B66" t="s">
        <v>165</v>
      </c>
      <c r="C66" s="10">
        <f t="shared" si="9"/>
        <v>82.545505000000006</v>
      </c>
      <c r="D66" s="10">
        <f t="shared" si="9"/>
        <v>151.11042</v>
      </c>
      <c r="E66" s="10">
        <f t="shared" si="9"/>
        <v>79.419254999999993</v>
      </c>
      <c r="F66" s="10">
        <f t="shared" si="9"/>
        <v>101.51559</v>
      </c>
      <c r="G66" s="10">
        <f t="shared" si="9"/>
        <v>142.819605</v>
      </c>
      <c r="H66" s="10">
        <f t="shared" si="9"/>
        <v>42.279405000000004</v>
      </c>
      <c r="I66" s="11">
        <f t="shared" si="10"/>
        <v>599.68978000000004</v>
      </c>
    </row>
    <row r="67" spans="2:9">
      <c r="B67" t="s">
        <v>178</v>
      </c>
      <c r="C67" s="10">
        <f t="shared" si="9"/>
        <v>136.90474</v>
      </c>
      <c r="D67" s="10">
        <f t="shared" si="9"/>
        <v>107.36793000000002</v>
      </c>
      <c r="E67" s="10">
        <f t="shared" si="9"/>
        <v>36.989789999999999</v>
      </c>
      <c r="F67" s="10">
        <f t="shared" si="9"/>
        <v>64.600830000000002</v>
      </c>
      <c r="G67" s="10">
        <f t="shared" si="9"/>
        <v>91.161450000000002</v>
      </c>
      <c r="H67" s="10">
        <f t="shared" si="9"/>
        <v>31.062420000000007</v>
      </c>
      <c r="I67" s="11">
        <f t="shared" si="10"/>
        <v>468.08716000000004</v>
      </c>
    </row>
    <row r="68" spans="2:9">
      <c r="B68" t="s">
        <v>179</v>
      </c>
      <c r="C68" s="10">
        <f t="shared" si="9"/>
        <v>128.85152000000002</v>
      </c>
      <c r="D68" s="10">
        <f t="shared" si="9"/>
        <v>63.625440000000005</v>
      </c>
      <c r="E68" s="10">
        <f t="shared" si="9"/>
        <v>31.550114999999995</v>
      </c>
      <c r="F68" s="10">
        <f t="shared" si="9"/>
        <v>41.529105000000001</v>
      </c>
      <c r="G68" s="10">
        <f t="shared" si="9"/>
        <v>48.619440000000004</v>
      </c>
      <c r="H68" s="10">
        <f t="shared" si="9"/>
        <v>72.478980000000007</v>
      </c>
      <c r="I68" s="11">
        <f t="shared" si="10"/>
        <v>386.65460000000007</v>
      </c>
    </row>
    <row r="69" spans="2:9">
      <c r="B69" t="s">
        <v>180</v>
      </c>
      <c r="C69" s="10">
        <f t="shared" si="9"/>
        <v>54.359235000000005</v>
      </c>
      <c r="D69" s="10">
        <f t="shared" si="9"/>
        <v>35.78931</v>
      </c>
      <c r="E69" s="10">
        <f t="shared" si="9"/>
        <v>9.7914149999999989</v>
      </c>
      <c r="F69" s="10">
        <f t="shared" si="9"/>
        <v>12.304920000000001</v>
      </c>
      <c r="G69" s="10">
        <f t="shared" si="9"/>
        <v>243.09719999999999</v>
      </c>
      <c r="H69" s="10">
        <f t="shared" si="9"/>
        <v>0</v>
      </c>
      <c r="I69" s="11">
        <f t="shared" si="10"/>
        <v>355.34208000000001</v>
      </c>
    </row>
    <row r="70" spans="2:9">
      <c r="B70" t="s">
        <v>181</v>
      </c>
      <c r="C70" s="10">
        <f t="shared" si="9"/>
        <v>42.279405000000004</v>
      </c>
      <c r="D70" s="10">
        <f t="shared" si="9"/>
        <v>47.719079999999991</v>
      </c>
      <c r="E70" s="10">
        <f t="shared" si="9"/>
        <v>29.374244999999998</v>
      </c>
      <c r="F70" s="10">
        <f t="shared" si="9"/>
        <v>23.071725000000004</v>
      </c>
      <c r="G70" s="10">
        <f t="shared" si="9"/>
        <v>33.425865000000009</v>
      </c>
      <c r="H70" s="10">
        <f t="shared" si="9"/>
        <v>37.965180000000004</v>
      </c>
      <c r="I70" s="11">
        <f t="shared" si="10"/>
        <v>213.83550000000002</v>
      </c>
    </row>
    <row r="71" spans="2:9">
      <c r="B71" t="s">
        <v>163</v>
      </c>
      <c r="C71" s="10">
        <f>C36*C$42/10000*$C$3</f>
        <v>16.106440000000003</v>
      </c>
      <c r="D71" s="10">
        <f t="shared" si="9"/>
        <v>23.859539999999996</v>
      </c>
      <c r="E71" s="10">
        <f t="shared" si="9"/>
        <v>15.231089999999998</v>
      </c>
      <c r="F71" s="10">
        <f t="shared" si="9"/>
        <v>29.224185000000002</v>
      </c>
      <c r="G71" s="10">
        <f t="shared" si="9"/>
        <v>33.425865000000009</v>
      </c>
      <c r="H71" s="10">
        <f t="shared" si="9"/>
        <v>6.9027600000000007</v>
      </c>
      <c r="I71" s="11">
        <f t="shared" si="10"/>
        <v>124.74988000000002</v>
      </c>
    </row>
    <row r="72" spans="2:9">
      <c r="B72" t="s">
        <v>53</v>
      </c>
      <c r="C72" s="10">
        <f t="shared" si="9"/>
        <v>392.5944750000001</v>
      </c>
      <c r="D72" s="10">
        <f t="shared" si="9"/>
        <v>516.95670000000007</v>
      </c>
      <c r="E72" s="10">
        <f t="shared" si="9"/>
        <v>174.06959999999998</v>
      </c>
      <c r="F72" s="10">
        <f t="shared" si="9"/>
        <v>332.23284000000001</v>
      </c>
      <c r="G72" s="10">
        <f t="shared" si="9"/>
        <v>656.36243999999999</v>
      </c>
      <c r="H72" s="10">
        <f t="shared" si="9"/>
        <v>239.87091000000001</v>
      </c>
      <c r="I72" s="11">
        <f t="shared" si="10"/>
        <v>2312.086965</v>
      </c>
    </row>
    <row r="74" spans="2:9">
      <c r="B74" s="8" t="s">
        <v>70</v>
      </c>
    </row>
    <row r="75" spans="2:9">
      <c r="B75" s="8"/>
      <c r="C75" s="8" t="s">
        <v>58</v>
      </c>
      <c r="D75" s="8" t="s">
        <v>59</v>
      </c>
      <c r="E75" s="8" t="s">
        <v>60</v>
      </c>
      <c r="F75" s="8" t="s">
        <v>61</v>
      </c>
      <c r="G75" s="8" t="s">
        <v>62</v>
      </c>
      <c r="H75" s="8" t="s">
        <v>63</v>
      </c>
      <c r="I75" s="8" t="s">
        <v>68</v>
      </c>
    </row>
    <row r="76" spans="2:9">
      <c r="B76" t="s">
        <v>177</v>
      </c>
      <c r="C76" s="13">
        <f t="shared" ref="C76:H76" si="11">C27*C$42/10000</f>
        <v>4.7656000000000004E-2</v>
      </c>
      <c r="D76" s="13">
        <f t="shared" si="11"/>
        <v>0.10875600000000002</v>
      </c>
      <c r="E76" s="13">
        <f t="shared" si="11"/>
        <v>1.8704999999999999E-2</v>
      </c>
      <c r="F76" s="13">
        <f t="shared" si="11"/>
        <v>2.8043999999999999E-2</v>
      </c>
      <c r="G76" s="13">
        <f t="shared" si="11"/>
        <v>7.1684999999999999E-2</v>
      </c>
      <c r="H76" s="13">
        <f t="shared" si="11"/>
        <v>1.7042999999999999E-2</v>
      </c>
      <c r="I76" s="13">
        <f t="shared" ref="I76:I86" si="12">SUM(C76:H76)</f>
        <v>0.29188900000000001</v>
      </c>
    </row>
    <row r="77" spans="2:9">
      <c r="B77" t="s">
        <v>174</v>
      </c>
      <c r="C77" s="13">
        <f t="shared" ref="C77:H86" si="13">C28*C$42/10000</f>
        <v>1.4006999999999999E-2</v>
      </c>
      <c r="D77" s="13">
        <f t="shared" si="13"/>
        <v>8.5541999999999993E-2</v>
      </c>
      <c r="E77" s="13">
        <f t="shared" si="13"/>
        <v>1.3658999999999998E-2</v>
      </c>
      <c r="F77" s="13">
        <f t="shared" si="13"/>
        <v>6.1500000000000001E-3</v>
      </c>
      <c r="G77" s="13">
        <f t="shared" si="13"/>
        <v>2.0898E-2</v>
      </c>
      <c r="H77" s="13">
        <f t="shared" si="13"/>
        <v>8.9700000000000001E-4</v>
      </c>
      <c r="I77" s="13">
        <f t="shared" si="12"/>
        <v>0.141153</v>
      </c>
    </row>
    <row r="78" spans="2:9">
      <c r="B78" t="s">
        <v>182</v>
      </c>
      <c r="C78" s="13">
        <f t="shared" si="13"/>
        <v>2.4311000000000003E-2</v>
      </c>
      <c r="D78" s="13">
        <f t="shared" si="13"/>
        <v>3.3708000000000002E-2</v>
      </c>
      <c r="E78" s="13">
        <f t="shared" si="13"/>
        <v>1.2962999999999999E-2</v>
      </c>
      <c r="F78" s="13">
        <f t="shared" si="13"/>
        <v>2.2631999999999999E-2</v>
      </c>
      <c r="G78" s="13">
        <f t="shared" si="13"/>
        <v>2.8674000000000002E-2</v>
      </c>
      <c r="H78" s="13">
        <f t="shared" si="13"/>
        <v>7.9350000000000011E-3</v>
      </c>
      <c r="I78" s="13">
        <f t="shared" si="12"/>
        <v>0.13022300000000001</v>
      </c>
    </row>
    <row r="79" spans="2:9">
      <c r="B79" t="s">
        <v>171</v>
      </c>
      <c r="C79" s="13">
        <f t="shared" si="13"/>
        <v>6.7620000000000006E-3</v>
      </c>
      <c r="D79" s="13">
        <f t="shared" si="13"/>
        <v>1.4628E-2</v>
      </c>
      <c r="E79" s="13">
        <f t="shared" si="13"/>
        <v>1.1483999999999999E-2</v>
      </c>
      <c r="F79" s="13">
        <f t="shared" si="13"/>
        <v>1.7958000000000002E-2</v>
      </c>
      <c r="G79" s="13">
        <f t="shared" si="13"/>
        <v>2.1870000000000001E-2</v>
      </c>
      <c r="H79" s="13">
        <f t="shared" si="13"/>
        <v>8.4179999999999984E-3</v>
      </c>
      <c r="I79" s="13">
        <f t="shared" si="12"/>
        <v>8.1119999999999998E-2</v>
      </c>
    </row>
    <row r="80" spans="2:9">
      <c r="B80" t="s">
        <v>165</v>
      </c>
      <c r="C80" s="13">
        <f t="shared" si="13"/>
        <v>6.6010000000000001E-3</v>
      </c>
      <c r="D80" s="13">
        <f t="shared" si="13"/>
        <v>1.2084000000000001E-2</v>
      </c>
      <c r="E80" s="13">
        <f t="shared" si="13"/>
        <v>6.350999999999999E-3</v>
      </c>
      <c r="F80" s="13">
        <f t="shared" si="13"/>
        <v>8.1180000000000002E-3</v>
      </c>
      <c r="G80" s="13">
        <f t="shared" si="13"/>
        <v>1.1421000000000001E-2</v>
      </c>
      <c r="H80" s="13">
        <f t="shared" si="13"/>
        <v>3.3810000000000003E-3</v>
      </c>
      <c r="I80" s="13">
        <f t="shared" si="12"/>
        <v>4.7956000000000006E-2</v>
      </c>
    </row>
    <row r="81" spans="2:9">
      <c r="B81" t="s">
        <v>178</v>
      </c>
      <c r="C81" s="13">
        <f t="shared" si="13"/>
        <v>1.0948000000000001E-2</v>
      </c>
      <c r="D81" s="13">
        <f t="shared" si="13"/>
        <v>8.5860000000000016E-3</v>
      </c>
      <c r="E81" s="13">
        <f t="shared" si="13"/>
        <v>2.9579999999999997E-3</v>
      </c>
      <c r="F81" s="13">
        <f t="shared" si="13"/>
        <v>5.1660000000000005E-3</v>
      </c>
      <c r="G81" s="13">
        <f t="shared" si="13"/>
        <v>7.2900000000000005E-3</v>
      </c>
      <c r="H81" s="13">
        <f t="shared" si="13"/>
        <v>2.4840000000000005E-3</v>
      </c>
      <c r="I81" s="13">
        <f t="shared" si="12"/>
        <v>3.7432E-2</v>
      </c>
    </row>
    <row r="82" spans="2:9">
      <c r="B82" t="s">
        <v>179</v>
      </c>
      <c r="C82" s="13">
        <f t="shared" si="13"/>
        <v>1.0304000000000002E-2</v>
      </c>
      <c r="D82" s="13">
        <f t="shared" si="13"/>
        <v>5.0880000000000005E-3</v>
      </c>
      <c r="E82" s="13">
        <f t="shared" si="13"/>
        <v>2.5229999999999996E-3</v>
      </c>
      <c r="F82" s="13">
        <f t="shared" si="13"/>
        <v>3.3210000000000002E-3</v>
      </c>
      <c r="G82" s="13">
        <f t="shared" si="13"/>
        <v>3.8880000000000004E-3</v>
      </c>
      <c r="H82" s="13">
        <f t="shared" si="13"/>
        <v>5.7960000000000008E-3</v>
      </c>
      <c r="I82" s="13">
        <f t="shared" si="12"/>
        <v>3.0920000000000003E-2</v>
      </c>
    </row>
    <row r="83" spans="2:9">
      <c r="B83" t="s">
        <v>180</v>
      </c>
      <c r="C83" s="13">
        <f t="shared" si="13"/>
        <v>4.3470000000000002E-3</v>
      </c>
      <c r="D83" s="13">
        <f t="shared" si="13"/>
        <v>2.862E-3</v>
      </c>
      <c r="E83" s="13">
        <f t="shared" si="13"/>
        <v>7.8299999999999995E-4</v>
      </c>
      <c r="F83" s="13">
        <f t="shared" si="13"/>
        <v>9.8400000000000007E-4</v>
      </c>
      <c r="G83" s="13">
        <f t="shared" si="13"/>
        <v>1.9439999999999999E-2</v>
      </c>
      <c r="H83" s="13">
        <f t="shared" si="13"/>
        <v>0</v>
      </c>
      <c r="I83" s="13">
        <f t="shared" si="12"/>
        <v>2.8416E-2</v>
      </c>
    </row>
    <row r="84" spans="2:9">
      <c r="B84" t="s">
        <v>181</v>
      </c>
      <c r="C84" s="13">
        <f t="shared" si="13"/>
        <v>3.3810000000000003E-3</v>
      </c>
      <c r="D84" s="13">
        <f t="shared" si="13"/>
        <v>3.8159999999999995E-3</v>
      </c>
      <c r="E84" s="13">
        <f t="shared" si="13"/>
        <v>2.349E-3</v>
      </c>
      <c r="F84" s="13">
        <f t="shared" si="13"/>
        <v>1.8450000000000003E-3</v>
      </c>
      <c r="G84" s="13">
        <f t="shared" si="13"/>
        <v>2.6730000000000005E-3</v>
      </c>
      <c r="H84" s="13">
        <f t="shared" si="13"/>
        <v>3.0360000000000005E-3</v>
      </c>
      <c r="I84" s="13">
        <f t="shared" si="12"/>
        <v>1.7100000000000004E-2</v>
      </c>
    </row>
    <row r="85" spans="2:9">
      <c r="B85" t="s">
        <v>163</v>
      </c>
      <c r="C85" s="13">
        <f t="shared" si="13"/>
        <v>1.2880000000000003E-3</v>
      </c>
      <c r="D85" s="13">
        <f t="shared" si="13"/>
        <v>1.9079999999999998E-3</v>
      </c>
      <c r="E85" s="13">
        <f t="shared" si="13"/>
        <v>1.2179999999999999E-3</v>
      </c>
      <c r="F85" s="13">
        <f t="shared" si="13"/>
        <v>2.3370000000000001E-3</v>
      </c>
      <c r="G85" s="13">
        <f t="shared" si="13"/>
        <v>2.6730000000000005E-3</v>
      </c>
      <c r="H85" s="13">
        <f t="shared" si="13"/>
        <v>5.5200000000000008E-4</v>
      </c>
      <c r="I85" s="13">
        <f t="shared" si="12"/>
        <v>9.9760000000000005E-3</v>
      </c>
    </row>
    <row r="86" spans="2:9">
      <c r="B86" t="s">
        <v>53</v>
      </c>
      <c r="C86" s="13">
        <f t="shared" si="13"/>
        <v>3.1395000000000006E-2</v>
      </c>
      <c r="D86" s="13">
        <f t="shared" si="13"/>
        <v>4.1340000000000002E-2</v>
      </c>
      <c r="E86" s="13">
        <f t="shared" si="13"/>
        <v>1.3919999999999998E-2</v>
      </c>
      <c r="F86" s="13">
        <f t="shared" si="13"/>
        <v>2.6568000000000001E-2</v>
      </c>
      <c r="G86" s="13">
        <f t="shared" si="13"/>
        <v>5.2488E-2</v>
      </c>
      <c r="H86" s="13">
        <f t="shared" si="13"/>
        <v>1.9182000000000001E-2</v>
      </c>
      <c r="I86" s="13">
        <f t="shared" si="12"/>
        <v>0.18489300000000003</v>
      </c>
    </row>
    <row r="88" spans="2:9">
      <c r="B88" s="8" t="s">
        <v>71</v>
      </c>
    </row>
    <row r="89" spans="2:9">
      <c r="B89" s="8"/>
      <c r="C89" s="8" t="s">
        <v>58</v>
      </c>
      <c r="D89" s="8" t="s">
        <v>59</v>
      </c>
      <c r="E89" s="8" t="s">
        <v>60</v>
      </c>
      <c r="F89" s="8" t="s">
        <v>61</v>
      </c>
      <c r="G89" s="8" t="s">
        <v>62</v>
      </c>
      <c r="H89" s="8" t="s">
        <v>63</v>
      </c>
      <c r="I89" s="8" t="s">
        <v>68</v>
      </c>
    </row>
    <row r="90" spans="2:9">
      <c r="B90" t="s">
        <v>177</v>
      </c>
      <c r="C90" s="13">
        <f t="shared" ref="C90:H90" si="14">C62/$I62</f>
        <v>0.16326754348399564</v>
      </c>
      <c r="D90" s="13">
        <f t="shared" si="14"/>
        <v>0.37259369143749854</v>
      </c>
      <c r="E90" s="13">
        <f t="shared" si="14"/>
        <v>6.4082579336665654E-2</v>
      </c>
      <c r="F90" s="13">
        <f t="shared" si="14"/>
        <v>9.6077618546776336E-2</v>
      </c>
      <c r="G90" s="13">
        <f t="shared" si="14"/>
        <v>0.24558993315952296</v>
      </c>
      <c r="H90" s="13">
        <f t="shared" si="14"/>
        <v>5.8388634035540905E-2</v>
      </c>
      <c r="I90" s="13">
        <f t="shared" ref="I90:I100" si="15">SUM(C90:H90)</f>
        <v>1</v>
      </c>
    </row>
    <row r="91" spans="2:9">
      <c r="B91" t="s">
        <v>174</v>
      </c>
      <c r="C91" s="13">
        <f t="shared" ref="C91:H91" si="16">C63/$I63</f>
        <v>9.9232747444262609E-2</v>
      </c>
      <c r="D91" s="13">
        <f t="shared" si="16"/>
        <v>0.60602325136553947</v>
      </c>
      <c r="E91" s="13">
        <f t="shared" si="16"/>
        <v>9.6767337569870965E-2</v>
      </c>
      <c r="F91" s="13">
        <f t="shared" si="16"/>
        <v>4.356974346985186E-2</v>
      </c>
      <c r="G91" s="13">
        <f t="shared" si="16"/>
        <v>0.14805211366389662</v>
      </c>
      <c r="H91" s="13">
        <f t="shared" si="16"/>
        <v>6.3548064865783932E-3</v>
      </c>
      <c r="I91" s="13">
        <f t="shared" si="15"/>
        <v>0.99999999999999989</v>
      </c>
    </row>
    <row r="92" spans="2:9">
      <c r="B92" t="s">
        <v>182</v>
      </c>
      <c r="C92" s="13">
        <f t="shared" ref="C92:H92" si="17">C64/$I64</f>
        <v>0.18668745152546021</v>
      </c>
      <c r="D92" s="13">
        <f t="shared" si="17"/>
        <v>0.25884828332936577</v>
      </c>
      <c r="E92" s="13">
        <f t="shared" si="17"/>
        <v>9.9544627293181684E-2</v>
      </c>
      <c r="F92" s="13">
        <f t="shared" si="17"/>
        <v>0.17379418382313414</v>
      </c>
      <c r="G92" s="13">
        <f t="shared" si="17"/>
        <v>0.22019151762745445</v>
      </c>
      <c r="H92" s="13">
        <f t="shared" si="17"/>
        <v>6.0933936401403758E-2</v>
      </c>
      <c r="I92" s="13">
        <f t="shared" si="15"/>
        <v>1</v>
      </c>
    </row>
    <row r="93" spans="2:9">
      <c r="B93" t="s">
        <v>171</v>
      </c>
      <c r="C93" s="13">
        <f t="shared" ref="C93:H93" si="18">C65/$I65</f>
        <v>8.3357988165680491E-2</v>
      </c>
      <c r="D93" s="13">
        <f t="shared" si="18"/>
        <v>0.18032544378698229</v>
      </c>
      <c r="E93" s="13">
        <f t="shared" si="18"/>
        <v>0.1415680473372781</v>
      </c>
      <c r="F93" s="13">
        <f t="shared" si="18"/>
        <v>0.22137573964497045</v>
      </c>
      <c r="G93" s="13">
        <f t="shared" si="18"/>
        <v>0.26960059171597633</v>
      </c>
      <c r="H93" s="13">
        <f t="shared" si="18"/>
        <v>0.10377218934911242</v>
      </c>
      <c r="I93" s="13">
        <f t="shared" si="15"/>
        <v>1</v>
      </c>
    </row>
    <row r="94" spans="2:9">
      <c r="B94" t="s">
        <v>165</v>
      </c>
      <c r="C94" s="13">
        <f t="shared" ref="C94:H94" si="19">C66/$I66</f>
        <v>0.1376470097589457</v>
      </c>
      <c r="D94" s="13">
        <f t="shared" si="19"/>
        <v>0.25198098256735341</v>
      </c>
      <c r="E94" s="13">
        <f t="shared" si="19"/>
        <v>0.1324338977395946</v>
      </c>
      <c r="F94" s="13">
        <f t="shared" si="19"/>
        <v>0.16928017349236799</v>
      </c>
      <c r="G94" s="13">
        <f t="shared" si="19"/>
        <v>0.23815580949203435</v>
      </c>
      <c r="H94" s="13">
        <f t="shared" si="19"/>
        <v>7.0502126949703897E-2</v>
      </c>
      <c r="I94" s="13">
        <f t="shared" si="15"/>
        <v>1</v>
      </c>
    </row>
    <row r="95" spans="2:9">
      <c r="B95" t="s">
        <v>178</v>
      </c>
      <c r="C95" s="13">
        <f t="shared" ref="C95:H95" si="20">C67/$I67</f>
        <v>0.29247702500534301</v>
      </c>
      <c r="D95" s="13">
        <f t="shared" si="20"/>
        <v>0.22937593502885234</v>
      </c>
      <c r="E95" s="13">
        <f t="shared" si="20"/>
        <v>7.9023295575977759E-2</v>
      </c>
      <c r="F95" s="13">
        <f t="shared" si="20"/>
        <v>0.13801025860226543</v>
      </c>
      <c r="G95" s="13">
        <f t="shared" si="20"/>
        <v>0.19475315238298779</v>
      </c>
      <c r="H95" s="13">
        <f t="shared" si="20"/>
        <v>6.6360333404573632E-2</v>
      </c>
      <c r="I95" s="13">
        <f t="shared" si="15"/>
        <v>0.99999999999999989</v>
      </c>
    </row>
    <row r="96" spans="2:9">
      <c r="B96" t="s">
        <v>179</v>
      </c>
      <c r="C96" s="13">
        <f t="shared" ref="C96:H96" si="21">C68/$I68</f>
        <v>0.33324708926261321</v>
      </c>
      <c r="D96" s="13">
        <f t="shared" si="21"/>
        <v>0.16455368693402328</v>
      </c>
      <c r="E96" s="13">
        <f t="shared" si="21"/>
        <v>8.1597671410090528E-2</v>
      </c>
      <c r="F96" s="13">
        <f t="shared" si="21"/>
        <v>0.10740620957309183</v>
      </c>
      <c r="G96" s="13">
        <f t="shared" si="21"/>
        <v>0.12574385510996117</v>
      </c>
      <c r="H96" s="13">
        <f t="shared" si="21"/>
        <v>0.18745148771021991</v>
      </c>
      <c r="I96" s="13">
        <f t="shared" si="15"/>
        <v>0.99999999999999989</v>
      </c>
    </row>
    <row r="97" spans="2:9">
      <c r="B97" t="s">
        <v>180</v>
      </c>
      <c r="C97" s="13">
        <f t="shared" ref="C97:H97" si="22">C69/$I69</f>
        <v>0.15297719594594594</v>
      </c>
      <c r="D97" s="13">
        <f t="shared" si="22"/>
        <v>0.1007179054054054</v>
      </c>
      <c r="E97" s="13">
        <f t="shared" si="22"/>
        <v>2.7554898648648643E-2</v>
      </c>
      <c r="F97" s="13">
        <f t="shared" si="22"/>
        <v>3.4628378378378379E-2</v>
      </c>
      <c r="G97" s="13">
        <f t="shared" si="22"/>
        <v>0.6841216216216216</v>
      </c>
      <c r="H97" s="13">
        <f t="shared" si="22"/>
        <v>0</v>
      </c>
      <c r="I97" s="13">
        <f t="shared" si="15"/>
        <v>1</v>
      </c>
    </row>
    <row r="98" spans="2:9">
      <c r="B98" t="s">
        <v>181</v>
      </c>
      <c r="C98" s="13">
        <f t="shared" ref="C98:H98" si="23">C70/$I70</f>
        <v>0.19771929824561404</v>
      </c>
      <c r="D98" s="13">
        <f t="shared" si="23"/>
        <v>0.22315789473684203</v>
      </c>
      <c r="E98" s="13">
        <f t="shared" si="23"/>
        <v>0.13736842105263156</v>
      </c>
      <c r="F98" s="13">
        <f t="shared" si="23"/>
        <v>0.10789473684210527</v>
      </c>
      <c r="G98" s="13">
        <f t="shared" si="23"/>
        <v>0.15631578947368424</v>
      </c>
      <c r="H98" s="13">
        <f t="shared" si="23"/>
        <v>0.17754385964912281</v>
      </c>
      <c r="I98" s="13">
        <f t="shared" si="15"/>
        <v>1</v>
      </c>
    </row>
    <row r="99" spans="2:9">
      <c r="B99" t="s">
        <v>163</v>
      </c>
      <c r="C99" s="13">
        <f t="shared" ref="C99:H99" si="24">C71/$I71</f>
        <v>0.12910986367281477</v>
      </c>
      <c r="D99" s="13">
        <f t="shared" si="24"/>
        <v>0.19125902165196465</v>
      </c>
      <c r="E99" s="13">
        <f t="shared" si="24"/>
        <v>0.12209302325581392</v>
      </c>
      <c r="F99" s="13">
        <f t="shared" si="24"/>
        <v>0.23426222935044105</v>
      </c>
      <c r="G99" s="13">
        <f t="shared" si="24"/>
        <v>0.26794306335204493</v>
      </c>
      <c r="H99" s="13">
        <f t="shared" si="24"/>
        <v>5.5332798716920609E-2</v>
      </c>
      <c r="I99" s="13">
        <f t="shared" si="15"/>
        <v>0.99999999999999989</v>
      </c>
    </row>
    <row r="100" spans="2:9">
      <c r="B100" t="s">
        <v>53</v>
      </c>
      <c r="C100" s="13">
        <f t="shared" ref="C100:H100" si="25">C72/$I72</f>
        <v>0.16980091187876237</v>
      </c>
      <c r="D100" s="13">
        <f t="shared" si="25"/>
        <v>0.22358877837451935</v>
      </c>
      <c r="E100" s="13">
        <f t="shared" si="25"/>
        <v>7.5286787493306931E-2</v>
      </c>
      <c r="F100" s="13">
        <f t="shared" si="25"/>
        <v>0.14369392026739791</v>
      </c>
      <c r="G100" s="13">
        <f t="shared" si="25"/>
        <v>0.28388311077217632</v>
      </c>
      <c r="H100" s="13">
        <f t="shared" si="25"/>
        <v>0.10374649121383719</v>
      </c>
      <c r="I100" s="13">
        <f t="shared" si="15"/>
        <v>1</v>
      </c>
    </row>
    <row r="102" spans="2:9">
      <c r="B102" s="8" t="s">
        <v>72</v>
      </c>
      <c r="C102" s="8" t="s">
        <v>161</v>
      </c>
      <c r="D102" t="s">
        <v>166</v>
      </c>
      <c r="E102" t="s">
        <v>169</v>
      </c>
      <c r="F102" t="s">
        <v>172</v>
      </c>
    </row>
    <row r="103" spans="2:9">
      <c r="B103" t="s">
        <v>34</v>
      </c>
      <c r="C103" s="10">
        <f>SUMIF($C$47:$K$47,$B103,$C$57:$K$57)</f>
        <v>1.5005999999999999</v>
      </c>
      <c r="D103" s="10">
        <f>SUMIF($C$47:$K$47,$B103,$C$52:$K$52)</f>
        <v>0</v>
      </c>
      <c r="E103" s="10">
        <f>SUMIF($C$47:$K$47,$B103,$C$51:$K$51)</f>
        <v>1.5005999999999999</v>
      </c>
      <c r="F103" s="10">
        <f>SUMIF($C$47:$K$47,$B103,$C$49:$K$49)</f>
        <v>72.278899999999993</v>
      </c>
    </row>
    <row r="104" spans="2:9">
      <c r="B104" t="s">
        <v>35</v>
      </c>
      <c r="C104" s="10">
        <f t="shared" ref="C104:C111" si="26">SUMIF($C$47:$K$47,$B104,$C$57:$K$57)</f>
        <v>0</v>
      </c>
      <c r="D104" s="10">
        <f t="shared" ref="D104:D111" si="27">SUMIF($C$47:$K$47,$B104,$C$52:$K$52)</f>
        <v>3.0012000000000003</v>
      </c>
      <c r="E104" s="10">
        <f t="shared" ref="E104:E111" si="28">SUMIF($C$47:$K$47,$B104,$C$51:$K$51)</f>
        <v>4.1266500000000006</v>
      </c>
      <c r="F104" s="10">
        <f t="shared" ref="F104:F111" si="29">SUMIF($C$47:$K$47,$B104,$C$49:$K$49)</f>
        <v>116.29649999999999</v>
      </c>
    </row>
    <row r="105" spans="2:9">
      <c r="B105" t="s">
        <v>36</v>
      </c>
      <c r="C105" s="10">
        <f t="shared" si="26"/>
        <v>3.0012000000000003</v>
      </c>
      <c r="D105" s="10">
        <f t="shared" si="27"/>
        <v>8.2533000000000012</v>
      </c>
      <c r="E105" s="10">
        <f t="shared" si="28"/>
        <v>18.7575</v>
      </c>
      <c r="F105" s="10">
        <f t="shared" si="29"/>
        <v>215.33609999999999</v>
      </c>
    </row>
    <row r="106" spans="2:9">
      <c r="B106" t="s">
        <v>37</v>
      </c>
      <c r="C106" s="10">
        <f t="shared" si="26"/>
        <v>2.3009199999999996</v>
      </c>
      <c r="D106" s="10">
        <f t="shared" si="27"/>
        <v>19.55782</v>
      </c>
      <c r="E106" s="10">
        <f t="shared" si="28"/>
        <v>31.062419999999999</v>
      </c>
      <c r="F106" s="10">
        <f t="shared" si="29"/>
        <v>280.71223999999995</v>
      </c>
    </row>
    <row r="107" spans="2:9">
      <c r="B107" t="s">
        <v>38</v>
      </c>
      <c r="C107" s="10">
        <f t="shared" si="26"/>
        <v>23.797015000000002</v>
      </c>
      <c r="D107" s="10">
        <f t="shared" si="27"/>
        <v>75.717775000000003</v>
      </c>
      <c r="E107" s="10">
        <f t="shared" si="28"/>
        <v>90.861330000000009</v>
      </c>
      <c r="F107" s="10">
        <f t="shared" si="29"/>
        <v>415.36608000000001</v>
      </c>
    </row>
    <row r="108" spans="2:9">
      <c r="B108" t="s">
        <v>39</v>
      </c>
      <c r="C108" s="10">
        <f t="shared" si="26"/>
        <v>49.332225000000008</v>
      </c>
      <c r="D108" s="10">
        <f t="shared" si="27"/>
        <v>187.46245499999998</v>
      </c>
      <c r="E108" s="10">
        <f t="shared" si="28"/>
        <v>246.661125</v>
      </c>
      <c r="F108" s="10">
        <f t="shared" si="29"/>
        <v>430.83476499999995</v>
      </c>
    </row>
    <row r="109" spans="2:9">
      <c r="B109" t="s">
        <v>40</v>
      </c>
      <c r="C109" s="10">
        <f t="shared" si="26"/>
        <v>40.716280000000005</v>
      </c>
      <c r="D109" s="10">
        <f t="shared" si="27"/>
        <v>251.70063999999999</v>
      </c>
      <c r="E109" s="10">
        <f t="shared" si="28"/>
        <v>466.38647999999995</v>
      </c>
      <c r="F109" s="10">
        <f t="shared" si="29"/>
        <v>222.08880000000002</v>
      </c>
    </row>
    <row r="110" spans="2:9">
      <c r="B110" t="s">
        <v>41</v>
      </c>
      <c r="C110" s="10">
        <f t="shared" si="26"/>
        <v>8.2532999999999994</v>
      </c>
      <c r="D110" s="10">
        <f t="shared" si="27"/>
        <v>51.99579</v>
      </c>
      <c r="E110" s="10">
        <f t="shared" si="28"/>
        <v>154.33670999999998</v>
      </c>
      <c r="F110" s="10">
        <f t="shared" si="29"/>
        <v>14.030609999999999</v>
      </c>
    </row>
    <row r="111" spans="2:9">
      <c r="B111" t="s">
        <v>42</v>
      </c>
      <c r="C111" s="10">
        <f t="shared" si="26"/>
        <v>0</v>
      </c>
      <c r="D111" s="10">
        <f t="shared" si="27"/>
        <v>0</v>
      </c>
      <c r="E111" s="10">
        <f t="shared" si="28"/>
        <v>0</v>
      </c>
      <c r="F111" s="10">
        <f t="shared" si="29"/>
        <v>0</v>
      </c>
    </row>
  </sheetData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N17"/>
  <sheetViews>
    <sheetView workbookViewId="0">
      <selection activeCell="B26" sqref="B26"/>
    </sheetView>
  </sheetViews>
  <sheetFormatPr defaultColWidth="9" defaultRowHeight="12"/>
  <cols>
    <col min="1" max="16384" width="9" style="28"/>
  </cols>
  <sheetData>
    <row r="1" spans="1:66" s="19" customFormat="1">
      <c r="A1" s="19" t="s">
        <v>77</v>
      </c>
    </row>
    <row r="2" spans="1:66" s="19" customFormat="1">
      <c r="A2" s="19" t="s">
        <v>188</v>
      </c>
    </row>
    <row r="3" spans="1:66" s="19" customFormat="1">
      <c r="A3" s="20" t="s">
        <v>78</v>
      </c>
      <c r="B3" s="21">
        <v>0</v>
      </c>
      <c r="C3" s="21">
        <v>0.125</v>
      </c>
      <c r="D3" s="21">
        <v>0.375</v>
      </c>
      <c r="E3" s="21">
        <v>0.625</v>
      </c>
      <c r="F3" s="21">
        <v>0.875</v>
      </c>
      <c r="G3" s="21">
        <v>1.125</v>
      </c>
      <c r="H3" s="21">
        <v>1.375</v>
      </c>
      <c r="I3" s="21">
        <v>1.625</v>
      </c>
      <c r="J3" s="21">
        <v>1.875</v>
      </c>
      <c r="K3" s="21">
        <v>2.125</v>
      </c>
      <c r="L3" s="21">
        <v>2.375</v>
      </c>
      <c r="M3" s="21">
        <v>2.625</v>
      </c>
      <c r="N3" s="21">
        <v>2.875</v>
      </c>
      <c r="O3" s="21">
        <v>3.125</v>
      </c>
      <c r="P3" s="21">
        <v>3.375</v>
      </c>
      <c r="Q3" s="21">
        <v>3.625</v>
      </c>
      <c r="R3" s="21">
        <v>3.875</v>
      </c>
      <c r="S3" s="21">
        <v>4.125</v>
      </c>
      <c r="T3" s="21">
        <v>4.375</v>
      </c>
      <c r="U3" s="21">
        <v>4.625</v>
      </c>
      <c r="V3" s="21">
        <v>4.875</v>
      </c>
      <c r="W3" s="21">
        <v>5.125</v>
      </c>
      <c r="X3" s="21">
        <v>5.375</v>
      </c>
      <c r="Y3" s="21">
        <v>5.625</v>
      </c>
      <c r="Z3" s="21">
        <v>5.875</v>
      </c>
      <c r="AA3" s="21">
        <v>6.125</v>
      </c>
      <c r="AB3" s="21">
        <v>6.375</v>
      </c>
      <c r="AC3" s="21">
        <v>6.625</v>
      </c>
      <c r="AD3" s="21">
        <v>6.875</v>
      </c>
      <c r="AE3" s="21">
        <v>7.125</v>
      </c>
      <c r="AF3" s="21">
        <v>7.375</v>
      </c>
      <c r="AG3" s="21">
        <v>7.625</v>
      </c>
      <c r="AH3" s="21">
        <v>7.875</v>
      </c>
      <c r="AI3" s="21">
        <v>8.125</v>
      </c>
      <c r="AJ3" s="21">
        <v>8.375</v>
      </c>
      <c r="AK3" s="21">
        <v>8.625</v>
      </c>
      <c r="AL3" s="21">
        <v>8.875</v>
      </c>
      <c r="AM3" s="21">
        <v>9.125</v>
      </c>
      <c r="AN3" s="21">
        <v>9.375</v>
      </c>
      <c r="AO3" s="21">
        <v>9.625</v>
      </c>
      <c r="AP3" s="21">
        <v>9.875</v>
      </c>
      <c r="AQ3" s="21">
        <v>10.125</v>
      </c>
      <c r="AR3" s="21">
        <v>10.375</v>
      </c>
      <c r="AS3" s="21">
        <v>10.625</v>
      </c>
      <c r="AT3" s="21">
        <v>10.875</v>
      </c>
      <c r="AU3" s="21">
        <v>11.125</v>
      </c>
      <c r="AV3" s="21">
        <v>11.375</v>
      </c>
      <c r="AW3" s="21">
        <v>11.625</v>
      </c>
      <c r="AX3" s="21">
        <v>11.875</v>
      </c>
      <c r="AY3" s="21">
        <v>12.125</v>
      </c>
      <c r="AZ3" s="21">
        <v>12.375</v>
      </c>
      <c r="BA3" s="21">
        <v>12.625</v>
      </c>
      <c r="BB3" s="21">
        <v>12.875</v>
      </c>
      <c r="BC3" s="21">
        <v>13.125</v>
      </c>
      <c r="BD3" s="21">
        <v>13.375</v>
      </c>
      <c r="BE3" s="21">
        <v>13.625</v>
      </c>
      <c r="BF3" s="21">
        <v>13.875</v>
      </c>
      <c r="BG3" s="21">
        <v>14.125</v>
      </c>
      <c r="BH3" s="21">
        <v>14.375</v>
      </c>
      <c r="BI3" s="21">
        <v>14.625</v>
      </c>
      <c r="BJ3" s="21">
        <v>14.875</v>
      </c>
      <c r="BK3" s="21">
        <v>15.125</v>
      </c>
      <c r="BL3" s="21">
        <v>15.375</v>
      </c>
      <c r="BM3" s="21">
        <v>15.625</v>
      </c>
      <c r="BN3" s="21">
        <v>15.875</v>
      </c>
    </row>
    <row r="4" spans="1:66" s="19" customFormat="1">
      <c r="A4" s="22" t="s">
        <v>79</v>
      </c>
      <c r="B4" s="23">
        <f t="shared" ref="B4:AG4" si="0">$B$8*(1-EXP(-(innovation+imitation)*B3))/(1+imitation/innovation*EXP(-(innovation+imitation)*B3))</f>
        <v>0</v>
      </c>
      <c r="C4" s="23">
        <f t="shared" si="0"/>
        <v>4.3695605742446735E-2</v>
      </c>
      <c r="D4" s="23">
        <f t="shared" si="0"/>
        <v>0.13027966648200834</v>
      </c>
      <c r="E4" s="23">
        <f t="shared" si="0"/>
        <v>0.21476077127338764</v>
      </c>
      <c r="F4" s="23">
        <f t="shared" si="0"/>
        <v>0.29601721284676602</v>
      </c>
      <c r="G4" s="23">
        <f t="shared" si="0"/>
        <v>0.37310197101193282</v>
      </c>
      <c r="H4" s="23">
        <f t="shared" si="0"/>
        <v>0.44527868791412456</v>
      </c>
      <c r="I4" s="23">
        <f t="shared" si="0"/>
        <v>0.51203667039597955</v>
      </c>
      <c r="J4" s="23">
        <f t="shared" si="0"/>
        <v>0.57308644860497771</v>
      </c>
      <c r="K4" s="23">
        <f t="shared" si="0"/>
        <v>0.62833981479210554</v>
      </c>
      <c r="L4" s="23">
        <f t="shared" si="0"/>
        <v>0.67787947241023083</v>
      </c>
      <c r="M4" s="23">
        <f t="shared" si="0"/>
        <v>0.72192350196465827</v>
      </c>
      <c r="N4" s="23">
        <f t="shared" si="0"/>
        <v>0.7607891040123842</v>
      </c>
      <c r="O4" s="23">
        <f t="shared" si="0"/>
        <v>0.79485890397695846</v>
      </c>
      <c r="P4" s="23">
        <f t="shared" si="0"/>
        <v>0.82455184581548924</v>
      </c>
      <c r="Q4" s="23">
        <f t="shared" si="0"/>
        <v>0.85029959801450083</v>
      </c>
      <c r="R4" s="23">
        <f t="shared" si="0"/>
        <v>0.87252856105010101</v>
      </c>
      <c r="S4" s="23">
        <f t="shared" si="0"/>
        <v>0.89164702046584465</v>
      </c>
      <c r="T4" s="23">
        <f t="shared" si="0"/>
        <v>0.90803669642491103</v>
      </c>
      <c r="U4" s="23">
        <f t="shared" si="0"/>
        <v>0.92204783664712564</v>
      </c>
      <c r="V4" s="23">
        <f t="shared" si="0"/>
        <v>0.93399702076089597</v>
      </c>
      <c r="W4" s="23">
        <f t="shared" si="0"/>
        <v>0.94416693613704217</v>
      </c>
      <c r="X4" s="23">
        <f t="shared" si="0"/>
        <v>0.95280750837814332</v>
      </c>
      <c r="Y4" s="23">
        <f t="shared" si="0"/>
        <v>0.96013789772165836</v>
      </c>
      <c r="Z4" s="23">
        <f t="shared" si="0"/>
        <v>0.9663489906637418</v>
      </c>
      <c r="AA4" s="23">
        <f t="shared" si="0"/>
        <v>0.97160611701648258</v>
      </c>
      <c r="AB4" s="23">
        <f t="shared" si="0"/>
        <v>0.9760518043537697</v>
      </c>
      <c r="AC4" s="23">
        <f t="shared" si="0"/>
        <v>0.97980844528285549</v>
      </c>
      <c r="AD4" s="23">
        <f t="shared" si="0"/>
        <v>0.98298080053191017</v>
      </c>
      <c r="AE4" s="23">
        <f t="shared" si="0"/>
        <v>0.98565829528911664</v>
      </c>
      <c r="AF4" s="23">
        <f t="shared" si="0"/>
        <v>0.98791709033924702</v>
      </c>
      <c r="AG4" s="23">
        <f t="shared" si="0"/>
        <v>0.98982192577937367</v>
      </c>
      <c r="AH4" s="23">
        <f t="shared" ref="AH4:BM4" si="1">$B$8*(1-EXP(-(innovation+imitation)*AH3))/(1+imitation/innovation*EXP(-(innovation+imitation)*AH3))</f>
        <v>0.99142774550479318</v>
      </c>
      <c r="AI4" s="23">
        <f t="shared" si="1"/>
        <v>0.99278111687117809</v>
      </c>
      <c r="AJ4" s="23">
        <f t="shared" si="1"/>
        <v>0.99392146321644903</v>
      </c>
      <c r="AK4" s="23">
        <f t="shared" si="1"/>
        <v>0.99488212820805944</v>
      </c>
      <c r="AL4" s="23">
        <f t="shared" si="1"/>
        <v>0.995691290957881</v>
      </c>
      <c r="AM4" s="23">
        <f t="shared" si="1"/>
        <v>0.99637275001123304</v>
      </c>
      <c r="AN4" s="23">
        <f t="shared" si="1"/>
        <v>0.99694659301417665</v>
      </c>
      <c r="AO4" s="23">
        <f t="shared" si="1"/>
        <v>0.99742976732982513</v>
      </c>
      <c r="AP4" s="23">
        <f t="shared" si="1"/>
        <v>0.99783656526644826</v>
      </c>
      <c r="AQ4" s="23">
        <f t="shared" si="1"/>
        <v>0.99817903599729629</v>
      </c>
      <c r="AR4" s="23">
        <f t="shared" si="1"/>
        <v>0.99846733475451743</v>
      </c>
      <c r="AS4" s="23">
        <f t="shared" si="1"/>
        <v>0.99871001850033547</v>
      </c>
      <c r="AT4" s="23">
        <f t="shared" si="1"/>
        <v>0.99891429603271975</v>
      </c>
      <c r="AU4" s="23">
        <f t="shared" si="1"/>
        <v>0.99908623937325269</v>
      </c>
      <c r="AV4" s="23">
        <f t="shared" si="1"/>
        <v>0.99923096230758801</v>
      </c>
      <c r="AW4" s="23">
        <f t="shared" si="1"/>
        <v>0.99935277109535559</v>
      </c>
      <c r="AX4" s="23">
        <f t="shared" si="1"/>
        <v>0.99945529162591951</v>
      </c>
      <c r="AY4" s="23">
        <f t="shared" si="1"/>
        <v>0.99954157665749799</v>
      </c>
      <c r="AZ4" s="23">
        <f t="shared" si="1"/>
        <v>0.99961419622827663</v>
      </c>
      <c r="BA4" s="23">
        <f t="shared" si="1"/>
        <v>0.99967531385826047</v>
      </c>
      <c r="BB4" s="23">
        <f t="shared" si="1"/>
        <v>0.99972675075952544</v>
      </c>
      <c r="BC4" s="23">
        <f t="shared" si="1"/>
        <v>0.99977003993095692</v>
      </c>
      <c r="BD4" s="23">
        <f t="shared" si="1"/>
        <v>0.99980647172326997</v>
      </c>
      <c r="BE4" s="23">
        <f t="shared" si="1"/>
        <v>0.99983713221378345</v>
      </c>
      <c r="BF4" s="23">
        <f t="shared" si="1"/>
        <v>0.99986293552168115</v>
      </c>
      <c r="BG4" s="23">
        <f t="shared" si="1"/>
        <v>0.99988465101781987</v>
      </c>
      <c r="BH4" s="23">
        <f t="shared" si="1"/>
        <v>0.999902926233732</v>
      </c>
      <c r="BI4" s="23">
        <f t="shared" si="1"/>
        <v>0.99991830614822852</v>
      </c>
      <c r="BJ4" s="23">
        <f t="shared" si="1"/>
        <v>0.99993124942340139</v>
      </c>
      <c r="BK4" s="23">
        <f t="shared" si="1"/>
        <v>0.99994214207184762</v>
      </c>
      <c r="BL4" s="23">
        <f t="shared" si="1"/>
        <v>0.99995130896104634</v>
      </c>
      <c r="BM4" s="23">
        <f t="shared" si="1"/>
        <v>0.99995902349680799</v>
      </c>
      <c r="BN4" s="23">
        <f>$B$8*(1-EXP(-(innovation+imitation)*BN3))/(1+imitation/innovation*EXP(-(innovation+imitation)*BN3))</f>
        <v>0.99996551577377224</v>
      </c>
    </row>
    <row r="5" spans="1:66" s="19" customForma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66" s="19" customFormat="1">
      <c r="A6" s="19" t="s">
        <v>80</v>
      </c>
      <c r="B6" s="25">
        <f>C6/100</f>
        <v>0.35</v>
      </c>
      <c r="C6" s="26">
        <v>35</v>
      </c>
    </row>
    <row r="7" spans="1:66" s="19" customFormat="1">
      <c r="A7" s="19" t="s">
        <v>81</v>
      </c>
      <c r="B7" s="25">
        <f>C7/100</f>
        <v>0.34</v>
      </c>
      <c r="C7" s="26">
        <v>34</v>
      </c>
    </row>
    <row r="8" spans="1:66" s="19" customFormat="1">
      <c r="A8" s="19" t="s">
        <v>82</v>
      </c>
      <c r="B8" s="27">
        <v>1</v>
      </c>
    </row>
    <row r="11" spans="1:66" s="19" customFormat="1">
      <c r="A11" s="19" t="s">
        <v>83</v>
      </c>
    </row>
    <row r="12" spans="1:66" s="19" customFormat="1">
      <c r="A12" s="20" t="s">
        <v>78</v>
      </c>
      <c r="B12" s="21">
        <v>0</v>
      </c>
      <c r="C12" s="21">
        <v>0.125</v>
      </c>
      <c r="D12" s="21">
        <v>0.375</v>
      </c>
      <c r="E12" s="21">
        <v>0.625</v>
      </c>
      <c r="F12" s="21">
        <v>0.875</v>
      </c>
      <c r="G12" s="21">
        <v>1.125</v>
      </c>
      <c r="H12" s="21">
        <v>1.375</v>
      </c>
      <c r="I12" s="21">
        <v>1.625</v>
      </c>
      <c r="J12" s="21">
        <v>1.875</v>
      </c>
      <c r="K12" s="21">
        <v>2.125</v>
      </c>
      <c r="L12" s="21">
        <v>2.375</v>
      </c>
      <c r="M12" s="21">
        <v>2.625</v>
      </c>
      <c r="N12" s="21">
        <v>2.875</v>
      </c>
      <c r="O12" s="21">
        <v>3.125</v>
      </c>
      <c r="P12" s="21">
        <v>3.375</v>
      </c>
      <c r="Q12" s="21">
        <v>3.625</v>
      </c>
      <c r="R12" s="21">
        <v>3.875</v>
      </c>
      <c r="S12" s="21">
        <v>4.125</v>
      </c>
      <c r="T12" s="21">
        <v>4.375</v>
      </c>
      <c r="U12" s="21">
        <v>4.625</v>
      </c>
      <c r="V12" s="21">
        <v>4.875</v>
      </c>
      <c r="W12" s="21">
        <v>5.125</v>
      </c>
      <c r="X12" s="21">
        <v>5.375</v>
      </c>
      <c r="Y12" s="21">
        <v>5.625</v>
      </c>
      <c r="Z12" s="21">
        <v>5.875</v>
      </c>
      <c r="AA12" s="21">
        <v>6.125</v>
      </c>
      <c r="AB12" s="21">
        <v>6.375</v>
      </c>
      <c r="AC12" s="21">
        <v>6.625</v>
      </c>
      <c r="AD12" s="21">
        <v>6.875</v>
      </c>
      <c r="AE12" s="21">
        <v>7.125</v>
      </c>
      <c r="AF12" s="21">
        <v>7.375</v>
      </c>
      <c r="AG12" s="21">
        <v>7.625</v>
      </c>
      <c r="AH12" s="21">
        <v>7.875</v>
      </c>
      <c r="AI12" s="21">
        <v>8.125</v>
      </c>
      <c r="AJ12" s="21">
        <v>8.375</v>
      </c>
      <c r="AK12" s="21">
        <v>8.625</v>
      </c>
      <c r="AL12" s="21">
        <v>8.875</v>
      </c>
      <c r="AM12" s="21">
        <v>9.125</v>
      </c>
      <c r="AN12" s="21">
        <v>9.375</v>
      </c>
      <c r="AO12" s="21">
        <v>9.625</v>
      </c>
      <c r="AP12" s="21">
        <v>9.875</v>
      </c>
      <c r="AQ12" s="21">
        <v>10.125</v>
      </c>
      <c r="AR12" s="21">
        <v>10.375</v>
      </c>
      <c r="AS12" s="21">
        <v>10.625</v>
      </c>
      <c r="AT12" s="21">
        <v>10.875</v>
      </c>
      <c r="AU12" s="21">
        <v>11.125</v>
      </c>
      <c r="AV12" s="21">
        <v>11.375</v>
      </c>
      <c r="AW12" s="21">
        <v>11.625</v>
      </c>
      <c r="AX12" s="21">
        <v>11.875</v>
      </c>
      <c r="AY12" s="21">
        <v>12.125</v>
      </c>
      <c r="AZ12" s="21">
        <v>12.375</v>
      </c>
      <c r="BA12" s="21">
        <v>12.625</v>
      </c>
      <c r="BB12" s="21">
        <v>12.875</v>
      </c>
      <c r="BC12" s="21">
        <v>13.125</v>
      </c>
      <c r="BD12" s="21">
        <v>13.375</v>
      </c>
      <c r="BE12" s="21">
        <v>13.625</v>
      </c>
      <c r="BF12" s="21">
        <v>13.875</v>
      </c>
      <c r="BG12" s="21">
        <v>14.125</v>
      </c>
      <c r="BH12" s="21">
        <v>14.375</v>
      </c>
      <c r="BI12" s="21">
        <v>14.625</v>
      </c>
      <c r="BJ12" s="21">
        <v>14.875</v>
      </c>
      <c r="BK12" s="21">
        <v>15.125</v>
      </c>
      <c r="BL12" s="21">
        <v>15.375</v>
      </c>
      <c r="BM12" s="21">
        <v>15.625</v>
      </c>
      <c r="BN12" s="21">
        <v>15.875</v>
      </c>
    </row>
    <row r="13" spans="1:66" s="19" customFormat="1">
      <c r="A13" s="22" t="s">
        <v>79</v>
      </c>
      <c r="B13" s="23">
        <f t="shared" ref="B13:AG13" si="2">$B$17*(1-EXP(-(innovation_generic+imitation_generic)*B12))/(1+imitation_generic/innovation_generic*EXP(-(innovation_generic+imitation_generic)*B12))</f>
        <v>0</v>
      </c>
      <c r="C13" s="23">
        <f t="shared" si="2"/>
        <v>6.2418746747512487E-2</v>
      </c>
      <c r="D13" s="23">
        <f t="shared" si="2"/>
        <v>0.18533319990813948</v>
      </c>
      <c r="E13" s="23">
        <f t="shared" si="2"/>
        <v>0.30270972933210843</v>
      </c>
      <c r="F13" s="23">
        <f t="shared" si="2"/>
        <v>0.41157005567402238</v>
      </c>
      <c r="G13" s="23">
        <f t="shared" si="2"/>
        <v>0.50982997373525663</v>
      </c>
      <c r="H13" s="23">
        <f t="shared" si="2"/>
        <v>0.59637355547924231</v>
      </c>
      <c r="I13" s="23">
        <f t="shared" si="2"/>
        <v>0.67096707420687374</v>
      </c>
      <c r="J13" s="23">
        <f t="shared" si="2"/>
        <v>0.73407151960434147</v>
      </c>
      <c r="K13" s="23">
        <f t="shared" si="2"/>
        <v>0.78661881210869755</v>
      </c>
      <c r="L13" s="23">
        <f t="shared" si="2"/>
        <v>0.8298019099859596</v>
      </c>
      <c r="M13" s="23">
        <f t="shared" si="2"/>
        <v>0.86490661772074184</v>
      </c>
      <c r="N13" s="23">
        <f t="shared" si="2"/>
        <v>0.89319334040035148</v>
      </c>
      <c r="O13" s="23">
        <f t="shared" si="2"/>
        <v>0.91582454416876224</v>
      </c>
      <c r="P13" s="23">
        <f t="shared" si="2"/>
        <v>0.93382804322259172</v>
      </c>
      <c r="Q13" s="23">
        <f t="shared" si="2"/>
        <v>0.9480852856044063</v>
      </c>
      <c r="R13" s="23">
        <f t="shared" si="2"/>
        <v>0.95933529331468237</v>
      </c>
      <c r="S13" s="23">
        <f t="shared" si="2"/>
        <v>0.96818721657637052</v>
      </c>
      <c r="T13" s="23">
        <f t="shared" si="2"/>
        <v>0.97513669829362826</v>
      </c>
      <c r="U13" s="23">
        <f t="shared" si="2"/>
        <v>0.9805830470370519</v>
      </c>
      <c r="V13" s="23">
        <f t="shared" si="2"/>
        <v>0.9848455174642784</v>
      </c>
      <c r="W13" s="23">
        <f t="shared" si="2"/>
        <v>0.98817786228751237</v>
      </c>
      <c r="X13" s="23">
        <f t="shared" si="2"/>
        <v>0.99078085564125162</v>
      </c>
      <c r="Y13" s="23">
        <f t="shared" si="2"/>
        <v>0.99281279483715978</v>
      </c>
      <c r="Z13" s="23">
        <f t="shared" si="2"/>
        <v>0.99439814606575794</v>
      </c>
      <c r="AA13" s="23">
        <f t="shared" si="2"/>
        <v>0.99563456710930964</v>
      </c>
      <c r="AB13" s="23">
        <f t="shared" si="2"/>
        <v>0.99659855517712947</v>
      </c>
      <c r="AC13" s="23">
        <f t="shared" si="2"/>
        <v>0.99734995516557368</v>
      </c>
      <c r="AD13" s="23">
        <f t="shared" si="2"/>
        <v>0.99793553792649037</v>
      </c>
      <c r="AE13" s="23">
        <f t="shared" si="2"/>
        <v>0.9983918281287415</v>
      </c>
      <c r="AF13" s="23">
        <f t="shared" si="2"/>
        <v>0.99874733168378105</v>
      </c>
      <c r="AG13" s="23">
        <f t="shared" si="2"/>
        <v>0.99902428575443547</v>
      </c>
      <c r="AH13" s="23">
        <f t="shared" ref="AH13:BM13" si="3">$B$17*(1-EXP(-(innovation_generic+imitation_generic)*AH12))/(1+imitation_generic/innovation_generic*EXP(-(innovation_generic+imitation_generic)*AH12))</f>
        <v>0.99924003097049618</v>
      </c>
      <c r="AI13" s="23">
        <f t="shared" si="3"/>
        <v>0.99940808577297391</v>
      </c>
      <c r="AJ13" s="23">
        <f t="shared" si="3"/>
        <v>0.9995389865560137</v>
      </c>
      <c r="AK13" s="23">
        <f t="shared" si="3"/>
        <v>0.99964094406130644</v>
      </c>
      <c r="AL13" s="23">
        <f t="shared" si="3"/>
        <v>0.99972035584870533</v>
      </c>
      <c r="AM13" s="23">
        <f t="shared" si="3"/>
        <v>0.99978220617994684</v>
      </c>
      <c r="AN13" s="23">
        <f t="shared" si="3"/>
        <v>0.99983037791655294</v>
      </c>
      <c r="AO13" s="23">
        <f t="shared" si="3"/>
        <v>0.99986789571029078</v>
      </c>
      <c r="AP13" s="23">
        <f t="shared" si="3"/>
        <v>0.9998971155725157</v>
      </c>
      <c r="AQ13" s="23">
        <f t="shared" si="3"/>
        <v>0.99991987261554161</v>
      </c>
      <c r="AR13" s="23">
        <f t="shared" si="3"/>
        <v>0.99993759617721212</v>
      </c>
      <c r="AS13" s="23">
        <f t="shared" si="3"/>
        <v>0.99995139951851342</v>
      </c>
      <c r="AT13" s="23">
        <f t="shared" si="3"/>
        <v>0.99996214970350794</v>
      </c>
      <c r="AU13" s="23">
        <f t="shared" si="3"/>
        <v>0.99997052203605097</v>
      </c>
      <c r="AV13" s="23">
        <f t="shared" si="3"/>
        <v>0.99997704246374597</v>
      </c>
      <c r="AW13" s="23">
        <f t="shared" si="3"/>
        <v>0.99998212060739033</v>
      </c>
      <c r="AX13" s="23">
        <f t="shared" si="3"/>
        <v>0.99998607548749974</v>
      </c>
      <c r="AY13" s="23">
        <f t="shared" si="3"/>
        <v>0.99998915556206003</v>
      </c>
      <c r="AZ13" s="23">
        <f t="shared" si="3"/>
        <v>0.9999915543331106</v>
      </c>
      <c r="BA13" s="23">
        <f t="shared" si="3"/>
        <v>0.99999342250186918</v>
      </c>
      <c r="BB13" s="23">
        <f t="shared" si="3"/>
        <v>0.99999487743557858</v>
      </c>
      <c r="BC13" s="23">
        <f t="shared" si="3"/>
        <v>0.99999601054055698</v>
      </c>
      <c r="BD13" s="23">
        <f t="shared" si="3"/>
        <v>0.99999689300449068</v>
      </c>
      <c r="BE13" s="23">
        <f t="shared" si="3"/>
        <v>0.99999758026863284</v>
      </c>
      <c r="BF13" s="23">
        <f t="shared" si="3"/>
        <v>0.9999981155108123</v>
      </c>
      <c r="BG13" s="23">
        <f t="shared" si="3"/>
        <v>0.99999853235803893</v>
      </c>
      <c r="BH13" s="23">
        <f t="shared" si="3"/>
        <v>0.99999885699910607</v>
      </c>
      <c r="BI13" s="23">
        <f t="shared" si="3"/>
        <v>0.99999910982989626</v>
      </c>
      <c r="BJ13" s="23">
        <f t="shared" si="3"/>
        <v>0.9999993067347579</v>
      </c>
      <c r="BK13" s="23">
        <f t="shared" si="3"/>
        <v>0.99999946008444518</v>
      </c>
      <c r="BL13" s="23">
        <f t="shared" si="3"/>
        <v>0.99999957951331797</v>
      </c>
      <c r="BM13" s="23">
        <f t="shared" si="3"/>
        <v>0.9999996725246274</v>
      </c>
      <c r="BN13" s="23">
        <f>$B$17*(1-EXP(-(innovation_generic+imitation_generic)*BN12))/(1+imitation_generic/innovation_generic*EXP(-(innovation_generic+imitation_generic)*BN12))</f>
        <v>0.99999974496191424</v>
      </c>
    </row>
    <row r="14" spans="1:66" s="19" customForma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66" s="19" customFormat="1">
      <c r="A15" s="19" t="s">
        <v>80</v>
      </c>
      <c r="B15" s="25">
        <f>C15/100</f>
        <v>0.5</v>
      </c>
      <c r="C15" s="26">
        <v>50</v>
      </c>
    </row>
    <row r="16" spans="1:66" s="19" customFormat="1">
      <c r="A16" s="19" t="s">
        <v>81</v>
      </c>
      <c r="B16" s="25">
        <f>C16/100</f>
        <v>0.5</v>
      </c>
      <c r="C16" s="26">
        <v>50</v>
      </c>
    </row>
    <row r="17" spans="1:2" s="19" customFormat="1">
      <c r="A17" s="19" t="s">
        <v>82</v>
      </c>
      <c r="B17" s="27">
        <v>1</v>
      </c>
    </row>
  </sheetData>
  <phoneticPr fontId="5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pinner 1">
              <controlPr defaultSize="0" autoPict="0">
                <anchor moveWithCells="1" sizeWithCells="1">
                  <from>
                    <xdr:col>2</xdr:col>
                    <xdr:colOff>19050</xdr:colOff>
                    <xdr:row>5</xdr:row>
                    <xdr:rowOff>19050</xdr:rowOff>
                  </from>
                  <to>
                    <xdr:col>2</xdr:col>
                    <xdr:colOff>209550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Spinner 2">
              <controlPr defaultSize="0" autoPict="0">
                <anchor moveWithCells="1" siz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209550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Spinner 3">
              <controlPr defaultSize="0" autoPict="0">
                <anchor moveWithCells="1" siz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Spinner 4">
              <controlPr defaultSize="0" autoPict="0">
                <anchor moveWithCells="1" siz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209550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Control Panel</vt:lpstr>
      <vt:lpstr>Forecast Table</vt:lpstr>
      <vt:lpstr>any_launch_timing</vt:lpstr>
      <vt:lpstr>CT_penetration</vt:lpstr>
      <vt:lpstr>imitation</vt:lpstr>
      <vt:lpstr>imitation_generic</vt:lpstr>
      <vt:lpstr>innovation</vt:lpstr>
      <vt:lpstr>innovation_generic</vt:lpstr>
      <vt:lpstr>PBR_launch_timing</vt:lpstr>
      <vt:lpstr>PBR_launch_year</vt:lpstr>
      <vt:lpstr>PBR_LoE_timing</vt:lpstr>
      <vt:lpstr>PBR_LoE_year</vt:lpstr>
      <vt:lpstr>PBR_peak_share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Nagate Toshi</dc:creator>
  <cp:lastModifiedBy>松田日香里</cp:lastModifiedBy>
  <dcterms:created xsi:type="dcterms:W3CDTF">2019-03-11T10:56:12Z</dcterms:created>
  <dcterms:modified xsi:type="dcterms:W3CDTF">2021-09-15T01:46:21Z</dcterms:modified>
</cp:coreProperties>
</file>